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global Archives\Archive 2016  2017\Laser safety calculator Canada\laser safety\"/>
    </mc:Choice>
  </mc:AlternateContent>
  <bookViews>
    <workbookView xWindow="0" yWindow="0" windowWidth="14850" windowHeight="5700" activeTab="2"/>
  </bookViews>
  <sheets>
    <sheet name="How To..." sheetId="6" r:id="rId1"/>
    <sheet name="Main" sheetId="2" r:id="rId2"/>
    <sheet name="&quot;a&quot; Single pulse  " sheetId="1" r:id="rId3"/>
    <sheet name="&quot;b&quot; Repetitive pulse " sheetId="3" r:id="rId4"/>
    <sheet name="&quot;c&quot; Train sequence " sheetId="4" r:id="rId5"/>
    <sheet name="General formula expl" sheetId="5" r:id="rId6"/>
  </sheets>
  <definedNames>
    <definedName name="alpha_a">'"a" Single pulse  '!$B$4</definedName>
    <definedName name="alpha_b">'"b" Repetitive pulse '!$B$4</definedName>
    <definedName name="alpha_c">'"c" Train sequence '!$B$4</definedName>
    <definedName name="lambda_a">'"a" Single pulse  '!$A$4</definedName>
    <definedName name="lambda_b">'"b" Repetitive pulse '!$A$4</definedName>
    <definedName name="lambda_c">'"c" Train sequence '!$A$4</definedName>
    <definedName name="T_2_a">'"a" Single pulse  '!$Q$17</definedName>
    <definedName name="T_2_b">'"b" Repetitive pulse '!$Q$17</definedName>
    <definedName name="T_2_c">'"c" Train sequence '!$E$4</definedName>
    <definedName name="T_seq_c">'"c" Train sequence '!$G$4</definedName>
    <definedName name="T_train_c">'"c" Train sequence '!$E$4</definedName>
    <definedName name="tsp_a">'"a" Single pulse  '!$C$4</definedName>
    <definedName name="tsp_b">'"b" Repetitive pulse '!$C$4</definedName>
    <definedName name="tsp_c">'"c" Train sequence '!$C$4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8" i="3" l="1"/>
  <c r="L30" i="2"/>
  <c r="K30" i="2"/>
  <c r="M30" i="2" s="1"/>
  <c r="J30" i="2"/>
  <c r="J13" i="2"/>
  <c r="A4" i="4"/>
  <c r="B4" i="4"/>
  <c r="P18" i="4" s="1"/>
  <c r="C4" i="4"/>
  <c r="N17" i="4" s="1"/>
  <c r="D4" i="4"/>
  <c r="E4" i="4"/>
  <c r="B4" i="1"/>
  <c r="B4" i="3"/>
  <c r="Q18" i="3" s="1"/>
  <c r="F4" i="4"/>
  <c r="G4" i="4"/>
  <c r="R19" i="4" s="1"/>
  <c r="I30" i="2" l="1"/>
  <c r="S10" i="4"/>
  <c r="S11" i="4"/>
  <c r="Q17" i="4"/>
  <c r="M13" i="4" s="1"/>
  <c r="Q18" i="4"/>
  <c r="S11" i="3"/>
  <c r="Q17" i="3"/>
  <c r="S19" i="4"/>
  <c r="T19" i="4" s="1"/>
  <c r="O17" i="4"/>
  <c r="K27" i="4"/>
  <c r="E29" i="2" s="1"/>
  <c r="T10" i="3"/>
  <c r="Q19" i="4"/>
  <c r="P19" i="4" s="1"/>
  <c r="P17" i="4"/>
  <c r="L17" i="4"/>
  <c r="S18" i="4"/>
  <c r="K30" i="4"/>
  <c r="E30" i="2" s="1"/>
  <c r="S10" i="3"/>
  <c r="P18" i="3"/>
  <c r="M17" i="4"/>
  <c r="K39" i="4"/>
  <c r="E33" i="2" s="1"/>
  <c r="K33" i="4"/>
  <c r="E31" i="2" s="1"/>
  <c r="P17" i="3"/>
  <c r="R17" i="4"/>
  <c r="T10" i="4"/>
  <c r="K24" i="4"/>
  <c r="E28" i="2" s="1"/>
  <c r="K36" i="4"/>
  <c r="E32" i="2" s="1"/>
  <c r="R18" i="4"/>
  <c r="I13" i="2"/>
  <c r="D4" i="3"/>
  <c r="N12" i="4" l="1"/>
  <c r="K30" i="3"/>
  <c r="E18" i="2" s="1"/>
  <c r="N12" i="3"/>
  <c r="K27" i="3"/>
  <c r="E17" i="2" s="1"/>
  <c r="M13" i="3"/>
  <c r="K24" i="3"/>
  <c r="E16" i="2" s="1"/>
  <c r="K21" i="3"/>
  <c r="E15" i="2" s="1"/>
  <c r="O18" i="4"/>
  <c r="O19" i="4"/>
  <c r="L19" i="4"/>
  <c r="N19" i="4"/>
  <c r="M19" i="4"/>
  <c r="M18" i="4"/>
  <c r="L18" i="4"/>
  <c r="N18" i="4"/>
  <c r="A4" i="1"/>
  <c r="A4" i="3"/>
  <c r="J24" i="4" s="1"/>
  <c r="C4" i="3"/>
  <c r="O6" i="2"/>
  <c r="J36" i="4" l="1"/>
  <c r="D32" i="2" s="1"/>
  <c r="D28" i="2"/>
  <c r="L17" i="3"/>
  <c r="O17" i="3"/>
  <c r="S18" i="3"/>
  <c r="R17" i="3"/>
  <c r="N17" i="3"/>
  <c r="M17" i="3"/>
  <c r="J30" i="4"/>
  <c r="D30" i="2" s="1"/>
  <c r="M18" i="3"/>
  <c r="L18" i="3"/>
  <c r="O18" i="3"/>
  <c r="N18" i="3"/>
  <c r="J27" i="4"/>
  <c r="D29" i="2" s="1"/>
  <c r="J33" i="4"/>
  <c r="D31" i="2" s="1"/>
  <c r="I5" i="2"/>
  <c r="C4" i="1"/>
  <c r="J24" i="3" l="1"/>
  <c r="J21" i="3"/>
  <c r="J39" i="4"/>
  <c r="D33" i="2" s="1"/>
  <c r="S11" i="1"/>
  <c r="S10" i="1"/>
  <c r="P17" i="1"/>
  <c r="T10" i="1"/>
  <c r="Q17" i="1" s="1"/>
  <c r="H5" i="2"/>
  <c r="J27" i="3" l="1"/>
  <c r="D17" i="2" s="1"/>
  <c r="D15" i="2"/>
  <c r="D16" i="2"/>
  <c r="M13" i="1"/>
  <c r="K20" i="1"/>
  <c r="E6" i="2" s="1"/>
  <c r="N12" i="1"/>
  <c r="L17" i="1" s="1"/>
  <c r="J30" i="3" l="1"/>
  <c r="D18" i="2" s="1"/>
  <c r="M17" i="1"/>
  <c r="O17" i="1"/>
  <c r="N17" i="1"/>
  <c r="J20" i="1" l="1"/>
  <c r="D6" i="2" s="1"/>
</calcChain>
</file>

<file path=xl/sharedStrings.xml><?xml version="1.0" encoding="utf-8"?>
<sst xmlns="http://schemas.openxmlformats.org/spreadsheetml/2006/main" count="252" uniqueCount="104">
  <si>
    <t>t (sec)</t>
  </si>
  <si>
    <t>K</t>
  </si>
  <si>
    <t>L</t>
  </si>
  <si>
    <t>M</t>
  </si>
  <si>
    <t>N</t>
  </si>
  <si>
    <r>
      <t>10</t>
    </r>
    <r>
      <rPr>
        <vertAlign val="superscript"/>
        <sz val="9"/>
        <color theme="1"/>
        <rFont val="Times New Roman"/>
        <family val="1"/>
        <charset val="204"/>
      </rPr>
      <t xml:space="preserve">-13 </t>
    </r>
    <r>
      <rPr>
        <sz val="9"/>
        <color theme="1"/>
        <rFont val="Times New Roman"/>
        <family val="1"/>
        <charset val="204"/>
      </rPr>
      <t xml:space="preserve"> &lt;</t>
    </r>
    <r>
      <rPr>
        <sz val="11"/>
        <color theme="1"/>
        <rFont val="Calibri"/>
        <family val="2"/>
        <charset val="204"/>
        <scheme val="minor"/>
      </rPr>
      <t xml:space="preserve"> t</t>
    </r>
    <r>
      <rPr>
        <sz val="9.5"/>
        <color theme="1"/>
        <rFont val="Times New Roman"/>
        <family val="1"/>
        <charset val="204"/>
      </rPr>
      <t xml:space="preserve"> &lt; 10</t>
    </r>
    <r>
      <rPr>
        <vertAlign val="superscript"/>
        <sz val="9"/>
        <color theme="1"/>
        <rFont val="Times New Roman"/>
        <family val="1"/>
        <charset val="204"/>
      </rPr>
      <t>-11</t>
    </r>
    <r>
      <rPr>
        <sz val="6"/>
        <color theme="1"/>
        <rFont val="Times New Roman"/>
        <family val="1"/>
        <charset val="204"/>
      </rPr>
      <t xml:space="preserve"> </t>
    </r>
  </si>
  <si>
    <r>
      <t>10</t>
    </r>
    <r>
      <rPr>
        <vertAlign val="superscript"/>
        <sz val="9"/>
        <color theme="1"/>
        <rFont val="Times New Roman"/>
        <family val="1"/>
        <charset val="204"/>
      </rPr>
      <t>-11</t>
    </r>
    <r>
      <rPr>
        <sz val="9"/>
        <color theme="1"/>
        <rFont val="Times New Roman"/>
        <family val="1"/>
        <charset val="204"/>
      </rPr>
      <t>&lt;</t>
    </r>
    <r>
      <rPr>
        <sz val="11"/>
        <color theme="1"/>
        <rFont val="Calibri"/>
        <family val="2"/>
        <charset val="204"/>
        <scheme val="minor"/>
      </rPr>
      <t xml:space="preserve"> t</t>
    </r>
    <r>
      <rPr>
        <sz val="9.5"/>
        <color theme="1"/>
        <rFont val="Times New Roman"/>
        <family val="1"/>
        <charset val="204"/>
      </rPr>
      <t xml:space="preserve"> &lt; 10</t>
    </r>
    <r>
      <rPr>
        <vertAlign val="superscript"/>
        <sz val="9"/>
        <color theme="1"/>
        <rFont val="Times New Roman"/>
        <family val="1"/>
        <charset val="204"/>
      </rPr>
      <t>-9</t>
    </r>
    <r>
      <rPr>
        <sz val="6"/>
        <color theme="1"/>
        <rFont val="Times New Roman"/>
        <family val="1"/>
        <charset val="204"/>
      </rPr>
      <t xml:space="preserve"> </t>
    </r>
  </si>
  <si>
    <r>
      <t>10</t>
    </r>
    <r>
      <rPr>
        <vertAlign val="superscript"/>
        <sz val="9"/>
        <color theme="1"/>
        <rFont val="Times New Roman"/>
        <family val="1"/>
        <charset val="204"/>
      </rPr>
      <t>-9</t>
    </r>
    <r>
      <rPr>
        <sz val="6"/>
        <color theme="1"/>
        <rFont val="Times New Roman"/>
        <family val="1"/>
        <charset val="204"/>
      </rPr>
      <t xml:space="preserve"> </t>
    </r>
    <r>
      <rPr>
        <sz val="9"/>
        <color theme="1"/>
        <rFont val="Times New Roman"/>
        <family val="1"/>
        <charset val="204"/>
      </rPr>
      <t>&lt;</t>
    </r>
    <r>
      <rPr>
        <sz val="11"/>
        <color theme="1"/>
        <rFont val="Calibri"/>
        <family val="2"/>
        <charset val="204"/>
        <scheme val="minor"/>
      </rPr>
      <t xml:space="preserve"> t</t>
    </r>
    <r>
      <rPr>
        <sz val="9.5"/>
        <color theme="1"/>
        <rFont val="Times New Roman"/>
        <family val="1"/>
        <charset val="204"/>
      </rPr>
      <t xml:space="preserve"> &lt; 18 × 10</t>
    </r>
    <r>
      <rPr>
        <vertAlign val="superscript"/>
        <sz val="9"/>
        <color theme="1"/>
        <rFont val="Times New Roman"/>
        <family val="1"/>
        <charset val="204"/>
      </rPr>
      <t>-6</t>
    </r>
    <r>
      <rPr>
        <sz val="6"/>
        <color theme="1"/>
        <rFont val="Times New Roman"/>
        <family val="1"/>
        <charset val="204"/>
      </rPr>
      <t xml:space="preserve"> </t>
    </r>
  </si>
  <si>
    <r>
      <t>18 × 10</t>
    </r>
    <r>
      <rPr>
        <vertAlign val="superscript"/>
        <sz val="9"/>
        <color theme="1"/>
        <rFont val="Times New Roman"/>
        <family val="1"/>
        <charset val="204"/>
      </rPr>
      <t>-6</t>
    </r>
    <r>
      <rPr>
        <sz val="6"/>
        <color theme="1"/>
        <rFont val="Times New Roman"/>
        <family val="1"/>
        <charset val="204"/>
      </rPr>
      <t xml:space="preserve"> </t>
    </r>
    <r>
      <rPr>
        <sz val="9"/>
        <color theme="1"/>
        <rFont val="Times New Roman"/>
        <family val="1"/>
        <charset val="204"/>
      </rPr>
      <t>&lt;</t>
    </r>
    <r>
      <rPr>
        <sz val="11"/>
        <color theme="1"/>
        <rFont val="Calibri"/>
        <family val="2"/>
        <charset val="204"/>
        <scheme val="minor"/>
      </rPr>
      <t xml:space="preserve"> t</t>
    </r>
    <r>
      <rPr>
        <sz val="9.5"/>
        <color theme="1"/>
        <rFont val="Times New Roman"/>
        <family val="1"/>
        <charset val="204"/>
      </rPr>
      <t xml:space="preserve"> &lt; </t>
    </r>
    <r>
      <rPr>
        <i/>
        <sz val="9.5"/>
        <color theme="1"/>
        <rFont val="Times New Roman"/>
        <family val="1"/>
        <charset val="204"/>
      </rPr>
      <t>T</t>
    </r>
    <r>
      <rPr>
        <sz val="6"/>
        <color theme="1"/>
        <rFont val="Times New Roman"/>
        <family val="1"/>
        <charset val="204"/>
      </rPr>
      <t xml:space="preserve">2 </t>
    </r>
  </si>
  <si>
    <r>
      <t>T</t>
    </r>
    <r>
      <rPr>
        <sz val="6"/>
        <color theme="1"/>
        <rFont val="Times New Roman"/>
        <family val="1"/>
        <charset val="204"/>
      </rPr>
      <t xml:space="preserve">2 </t>
    </r>
    <r>
      <rPr>
        <sz val="9"/>
        <color theme="1"/>
        <rFont val="Times New Roman"/>
        <family val="1"/>
        <charset val="204"/>
      </rPr>
      <t>&lt;</t>
    </r>
    <r>
      <rPr>
        <sz val="11"/>
        <color theme="1"/>
        <rFont val="Calibri"/>
        <family val="2"/>
        <charset val="204"/>
        <scheme val="minor"/>
      </rPr>
      <t xml:space="preserve"> t</t>
    </r>
    <r>
      <rPr>
        <sz val="9.5"/>
        <color theme="1"/>
        <rFont val="Times New Roman"/>
        <family val="1"/>
        <charset val="204"/>
      </rPr>
      <t xml:space="preserve"> &lt; 3 × 10</t>
    </r>
    <r>
      <rPr>
        <vertAlign val="superscript"/>
        <sz val="9.5"/>
        <color theme="1"/>
        <rFont val="Times New Roman"/>
        <family val="1"/>
        <charset val="204"/>
      </rPr>
      <t>4</t>
    </r>
    <r>
      <rPr>
        <sz val="6"/>
        <color theme="1"/>
        <rFont val="Times New Roman"/>
        <family val="1"/>
        <charset val="204"/>
      </rPr>
      <t xml:space="preserve"> </t>
    </r>
  </si>
  <si>
    <t>α (mrad)</t>
  </si>
  <si>
    <r>
      <t>C</t>
    </r>
    <r>
      <rPr>
        <sz val="6"/>
        <color rgb="FFFF00FF"/>
        <rFont val="Times New Roman"/>
        <family val="1"/>
        <charset val="204"/>
      </rPr>
      <t>E</t>
    </r>
  </si>
  <si>
    <r>
      <t>T</t>
    </r>
    <r>
      <rPr>
        <sz val="6"/>
        <color rgb="FF00B0F0"/>
        <rFont val="Times New Roman"/>
        <family val="1"/>
        <charset val="204"/>
      </rPr>
      <t xml:space="preserve">2  </t>
    </r>
    <r>
      <rPr>
        <sz val="9"/>
        <color rgb="FF00B0F0"/>
        <rFont val="Times New Roman"/>
        <family val="1"/>
        <charset val="204"/>
      </rPr>
      <t>sec</t>
    </r>
  </si>
  <si>
    <t>α&lt;1.5</t>
  </si>
  <si>
    <t>1.5&lt;α&lt;100</t>
  </si>
  <si>
    <t>α/1.5</t>
  </si>
  <si>
    <r>
      <t>10</t>
    </r>
    <r>
      <rPr>
        <vertAlign val="superscript"/>
        <sz val="11"/>
        <color rgb="FF00B0F0"/>
        <rFont val="Calibri"/>
        <family val="2"/>
        <charset val="204"/>
        <scheme val="minor"/>
      </rPr>
      <t>[1+(α-1.5)/98.5]</t>
    </r>
  </si>
  <si>
    <t>α&gt;100</t>
  </si>
  <si>
    <r>
      <t>α</t>
    </r>
    <r>
      <rPr>
        <vertAlign val="superscript"/>
        <sz val="11"/>
        <color rgb="FFFF00FF"/>
        <rFont val="Calibri"/>
        <family val="2"/>
        <charset val="204"/>
        <scheme val="minor"/>
      </rPr>
      <t>2</t>
    </r>
    <r>
      <rPr>
        <sz val="11"/>
        <color rgb="FFFF00FF"/>
        <rFont val="Calibri"/>
        <family val="2"/>
        <charset val="204"/>
        <scheme val="minor"/>
      </rPr>
      <t>/150</t>
    </r>
  </si>
  <si>
    <t>t min</t>
  </si>
  <si>
    <t>t max</t>
  </si>
  <si>
    <t>α (mrad) ranges</t>
  </si>
  <si>
    <t>α min</t>
  </si>
  <si>
    <t>αmax</t>
  </si>
  <si>
    <t xml:space="preserve"> t(sec) ranges</t>
  </si>
  <si>
    <t>MPE formula parparameters</t>
  </si>
  <si>
    <r>
      <t>C</t>
    </r>
    <r>
      <rPr>
        <b/>
        <sz val="6"/>
        <color rgb="FFFF00FF"/>
        <rFont val="Times New Roman"/>
        <family val="1"/>
        <charset val="204"/>
      </rPr>
      <t>E</t>
    </r>
  </si>
  <si>
    <r>
      <t>T</t>
    </r>
    <r>
      <rPr>
        <b/>
        <sz val="6"/>
        <color rgb="FF00B0F0"/>
        <rFont val="Times New Roman"/>
        <family val="1"/>
        <charset val="204"/>
      </rPr>
      <t>two</t>
    </r>
  </si>
  <si>
    <t>MPE</t>
  </si>
  <si>
    <t>Ce</t>
  </si>
  <si>
    <r>
      <t>MPE(λ,t,α)=</t>
    </r>
    <r>
      <rPr>
        <b/>
        <sz val="14"/>
        <color rgb="FFFF0000"/>
        <rFont val="Calibri"/>
        <family val="2"/>
        <charset val="204"/>
        <scheme val="minor"/>
      </rPr>
      <t>K</t>
    </r>
    <r>
      <rPr>
        <sz val="14"/>
        <color rgb="FFFF0000"/>
        <rFont val="Calibri"/>
        <family val="2"/>
        <charset val="204"/>
        <scheme val="minor"/>
      </rPr>
      <t xml:space="preserve"> </t>
    </r>
    <r>
      <rPr>
        <b/>
        <i/>
        <sz val="12"/>
        <color rgb="FFFF00FF"/>
        <rFont val="Times New Roman"/>
        <family val="1"/>
        <charset val="204"/>
      </rPr>
      <t>C</t>
    </r>
    <r>
      <rPr>
        <b/>
        <vertAlign val="subscript"/>
        <sz val="12"/>
        <color rgb="FFFF00FF"/>
        <rFont val="Times New Roman"/>
        <family val="1"/>
        <charset val="204"/>
      </rPr>
      <t>E</t>
    </r>
    <r>
      <rPr>
        <i/>
        <sz val="12"/>
        <color rgb="FFC45911"/>
        <rFont val="Times New Roman"/>
        <family val="1"/>
        <charset val="204"/>
      </rPr>
      <t xml:space="preserve"> </t>
    </r>
    <r>
      <rPr>
        <b/>
        <i/>
        <sz val="12"/>
        <color theme="1"/>
        <rFont val="Times New Roman"/>
        <family val="1"/>
        <charset val="204"/>
      </rPr>
      <t>t</t>
    </r>
    <r>
      <rPr>
        <i/>
        <sz val="12"/>
        <color rgb="FFC45911"/>
        <rFont val="Times New Roman"/>
        <family val="1"/>
        <charset val="204"/>
      </rPr>
      <t xml:space="preserve"> </t>
    </r>
    <r>
      <rPr>
        <b/>
        <vertAlign val="superscript"/>
        <sz val="14"/>
        <color rgb="FFC45911"/>
        <rFont val="Calibri"/>
        <family val="2"/>
        <charset val="204"/>
        <scheme val="minor"/>
      </rPr>
      <t>L</t>
    </r>
    <r>
      <rPr>
        <i/>
        <sz val="12"/>
        <color rgb="FF00B0F0"/>
        <rFont val="Times New Roman"/>
        <family val="1"/>
        <charset val="204"/>
      </rPr>
      <t xml:space="preserve"> T</t>
    </r>
    <r>
      <rPr>
        <vertAlign val="subscript"/>
        <sz val="12"/>
        <color rgb="FF00B0F0"/>
        <rFont val="Times New Roman"/>
        <family val="1"/>
        <charset val="204"/>
      </rPr>
      <t>2</t>
    </r>
    <r>
      <rPr>
        <b/>
        <vertAlign val="superscript"/>
        <sz val="14"/>
        <color rgb="FF00B0F0"/>
        <rFont val="Calibri"/>
        <family val="2"/>
        <charset val="204"/>
        <scheme val="minor"/>
      </rPr>
      <t>M</t>
    </r>
    <r>
      <rPr>
        <vertAlign val="superscript"/>
        <sz val="12"/>
        <color rgb="FF00B0F0"/>
        <rFont val="Times New Roman"/>
        <family val="1"/>
        <charset val="204"/>
      </rPr>
      <t xml:space="preserve"> </t>
    </r>
    <r>
      <rPr>
        <sz val="12"/>
        <color theme="1"/>
        <rFont val="Calibri"/>
        <family val="2"/>
        <charset val="204"/>
        <scheme val="minor"/>
      </rPr>
      <t>×</t>
    </r>
    <r>
      <rPr>
        <sz val="12"/>
        <color theme="1"/>
        <rFont val="Times New Roman"/>
        <family val="1"/>
        <charset val="204"/>
      </rPr>
      <t>10</t>
    </r>
    <r>
      <rPr>
        <vertAlign val="superscript"/>
        <sz val="12"/>
        <color theme="1"/>
        <rFont val="Times New Roman"/>
        <family val="1"/>
        <charset val="204"/>
      </rPr>
      <t>2 (</t>
    </r>
    <r>
      <rPr>
        <b/>
        <vertAlign val="superscript"/>
        <sz val="12"/>
        <color theme="1"/>
        <rFont val="Times New Roman"/>
        <family val="1"/>
        <charset val="204"/>
      </rPr>
      <t>λ</t>
    </r>
    <r>
      <rPr>
        <vertAlign val="superscript"/>
        <sz val="12"/>
        <color theme="1"/>
        <rFont val="Times New Roman"/>
        <family val="1"/>
        <charset val="204"/>
      </rPr>
      <t>-0.7)</t>
    </r>
    <r>
      <rPr>
        <vertAlign val="superscript"/>
        <sz val="12"/>
        <color rgb="FF00B050"/>
        <rFont val="Times New Roman"/>
        <family val="1"/>
        <charset val="204"/>
      </rPr>
      <t xml:space="preserve"> </t>
    </r>
    <r>
      <rPr>
        <vertAlign val="superscript"/>
        <sz val="12"/>
        <color theme="1"/>
        <rFont val="Times New Roman"/>
        <family val="1"/>
        <charset val="204"/>
      </rPr>
      <t>+</t>
    </r>
    <r>
      <rPr>
        <b/>
        <vertAlign val="superscript"/>
        <sz val="14"/>
        <color rgb="FF92D050"/>
        <rFont val="Calibri"/>
        <family val="2"/>
        <charset val="204"/>
        <scheme val="minor"/>
      </rPr>
      <t>N</t>
    </r>
  </si>
  <si>
    <t>Single pulse input data</t>
  </si>
  <si>
    <t>Insert numerical data here&gt;</t>
  </si>
  <si>
    <t>Minimum Permissible Exposure (MPE)</t>
  </si>
  <si>
    <t xml:space="preserve"> (sec)</t>
  </si>
  <si>
    <t xml:space="preserve">Light source size </t>
  </si>
  <si>
    <t>(mm)</t>
  </si>
  <si>
    <t xml:space="preserve">Minimal Distance from light source to observer     </t>
  </si>
  <si>
    <t xml:space="preserve"> (mm)</t>
  </si>
  <si>
    <t xml:space="preserve">Light wavelength </t>
  </si>
  <si>
    <t>(micron)</t>
  </si>
  <si>
    <t>Requred units:</t>
  </si>
  <si>
    <t xml:space="preserve">Result:    </t>
  </si>
  <si>
    <t>Pause between pulses</t>
  </si>
  <si>
    <t xml:space="preserve">Entire sequence duration </t>
  </si>
  <si>
    <t>Single pulse duration</t>
  </si>
  <si>
    <t>Pause between pulses in train</t>
  </si>
  <si>
    <t>Train duration</t>
  </si>
  <si>
    <t>Pause between trains</t>
  </si>
  <si>
    <t>Continuous sequence of pulses  input data</t>
  </si>
  <si>
    <t>Sequence of pulse trains input data</t>
  </si>
  <si>
    <t>Calculator</t>
  </si>
  <si>
    <t>Pulse/period ratio =&gt;</t>
  </si>
  <si>
    <t>Hz</t>
  </si>
  <si>
    <t>Unitless</t>
  </si>
  <si>
    <t>sec</t>
  </si>
  <si>
    <t>Frequency  =&gt;</t>
  </si>
  <si>
    <t>Pulse duration &lt;=</t>
  </si>
  <si>
    <r>
      <t>Generalized formula:    MPE(λ,t,α)=</t>
    </r>
    <r>
      <rPr>
        <b/>
        <sz val="14"/>
        <color rgb="FFFF0000"/>
        <rFont val="Calibri"/>
        <family val="2"/>
        <charset val="204"/>
        <scheme val="minor"/>
      </rPr>
      <t>K</t>
    </r>
    <r>
      <rPr>
        <sz val="14"/>
        <color rgb="FFFF0000"/>
        <rFont val="Calibri"/>
        <family val="2"/>
        <charset val="204"/>
        <scheme val="minor"/>
      </rPr>
      <t xml:space="preserve"> </t>
    </r>
    <r>
      <rPr>
        <b/>
        <i/>
        <sz val="12"/>
        <color rgb="FFFF00FF"/>
        <rFont val="Times New Roman"/>
        <family val="1"/>
        <charset val="204"/>
      </rPr>
      <t>C</t>
    </r>
    <r>
      <rPr>
        <b/>
        <vertAlign val="subscript"/>
        <sz val="12"/>
        <color rgb="FFFF00FF"/>
        <rFont val="Times New Roman"/>
        <family val="1"/>
        <charset val="204"/>
      </rPr>
      <t>E</t>
    </r>
    <r>
      <rPr>
        <i/>
        <sz val="12"/>
        <color rgb="FFC45911"/>
        <rFont val="Times New Roman"/>
        <family val="1"/>
        <charset val="204"/>
      </rPr>
      <t xml:space="preserve"> </t>
    </r>
    <r>
      <rPr>
        <b/>
        <i/>
        <sz val="12"/>
        <color theme="1"/>
        <rFont val="Times New Roman"/>
        <family val="1"/>
        <charset val="204"/>
      </rPr>
      <t>t</t>
    </r>
    <r>
      <rPr>
        <i/>
        <sz val="12"/>
        <color rgb="FFC45911"/>
        <rFont val="Times New Roman"/>
        <family val="1"/>
        <charset val="204"/>
      </rPr>
      <t xml:space="preserve"> </t>
    </r>
    <r>
      <rPr>
        <b/>
        <vertAlign val="superscript"/>
        <sz val="14"/>
        <color rgb="FFC45911"/>
        <rFont val="Calibri"/>
        <family val="2"/>
        <charset val="204"/>
        <scheme val="minor"/>
      </rPr>
      <t>L</t>
    </r>
    <r>
      <rPr>
        <i/>
        <sz val="12"/>
        <color rgb="FF00B0F0"/>
        <rFont val="Times New Roman"/>
        <family val="1"/>
        <charset val="204"/>
      </rPr>
      <t xml:space="preserve"> T</t>
    </r>
    <r>
      <rPr>
        <vertAlign val="subscript"/>
        <sz val="12"/>
        <color rgb="FF00B0F0"/>
        <rFont val="Times New Roman"/>
        <family val="1"/>
        <charset val="204"/>
      </rPr>
      <t>2</t>
    </r>
    <r>
      <rPr>
        <b/>
        <vertAlign val="superscript"/>
        <sz val="14"/>
        <color rgb="FF00B0F0"/>
        <rFont val="Calibri"/>
        <family val="2"/>
        <charset val="204"/>
        <scheme val="minor"/>
      </rPr>
      <t>M</t>
    </r>
    <r>
      <rPr>
        <vertAlign val="superscript"/>
        <sz val="12"/>
        <color rgb="FF00B0F0"/>
        <rFont val="Times New Roman"/>
        <family val="1"/>
        <charset val="204"/>
      </rPr>
      <t xml:space="preserve"> </t>
    </r>
    <r>
      <rPr>
        <sz val="12"/>
        <color theme="1"/>
        <rFont val="Calibri"/>
        <family val="2"/>
        <charset val="204"/>
        <scheme val="minor"/>
      </rPr>
      <t>×</t>
    </r>
    <r>
      <rPr>
        <sz val="12"/>
        <color theme="1"/>
        <rFont val="Times New Roman"/>
        <family val="1"/>
        <charset val="204"/>
      </rPr>
      <t>10</t>
    </r>
    <r>
      <rPr>
        <vertAlign val="superscript"/>
        <sz val="12"/>
        <color theme="1"/>
        <rFont val="Times New Roman"/>
        <family val="1"/>
        <charset val="204"/>
      </rPr>
      <t>2 (</t>
    </r>
    <r>
      <rPr>
        <b/>
        <vertAlign val="superscript"/>
        <sz val="12"/>
        <color theme="1"/>
        <rFont val="Times New Roman"/>
        <family val="1"/>
        <charset val="204"/>
      </rPr>
      <t>λ</t>
    </r>
    <r>
      <rPr>
        <vertAlign val="superscript"/>
        <sz val="12"/>
        <color theme="1"/>
        <rFont val="Times New Roman"/>
        <family val="1"/>
        <charset val="204"/>
      </rPr>
      <t>-0.7)</t>
    </r>
    <r>
      <rPr>
        <vertAlign val="superscript"/>
        <sz val="12"/>
        <color rgb="FF00B050"/>
        <rFont val="Times New Roman"/>
        <family val="1"/>
        <charset val="204"/>
      </rPr>
      <t xml:space="preserve"> </t>
    </r>
    <r>
      <rPr>
        <vertAlign val="superscript"/>
        <sz val="12"/>
        <color theme="1"/>
        <rFont val="Times New Roman"/>
        <family val="1"/>
        <charset val="204"/>
      </rPr>
      <t>+</t>
    </r>
    <r>
      <rPr>
        <b/>
        <vertAlign val="superscript"/>
        <sz val="14"/>
        <color rgb="FF92D050"/>
        <rFont val="Calibri"/>
        <family val="2"/>
        <charset val="204"/>
        <scheme val="minor"/>
      </rPr>
      <t>N</t>
    </r>
  </si>
  <si>
    <t>Rule 1. Single-pulse limit.</t>
  </si>
  <si>
    <t>Rule 2. Average-power limit.</t>
  </si>
  <si>
    <t>Rule 3. Repetitive-pulse limit</t>
  </si>
  <si>
    <r>
      <rPr>
        <sz val="11"/>
        <color theme="1"/>
        <rFont val="Calibri"/>
        <family val="2"/>
      </rPr>
      <t>α</t>
    </r>
    <r>
      <rPr>
        <sz val="11"/>
        <color theme="1"/>
        <rFont val="Calibri"/>
        <family val="2"/>
        <charset val="204"/>
        <scheme val="minor"/>
      </rPr>
      <t xml:space="preserve"> (mrad)</t>
    </r>
  </si>
  <si>
    <t>λ</t>
  </si>
  <si>
    <t>α</t>
  </si>
  <si>
    <r>
      <t xml:space="preserve"> t</t>
    </r>
    <r>
      <rPr>
        <b/>
        <sz val="10"/>
        <color theme="1"/>
        <rFont val="Calibri"/>
        <family val="2"/>
        <charset val="204"/>
        <scheme val="minor"/>
      </rPr>
      <t>sp</t>
    </r>
  </si>
  <si>
    <r>
      <rPr>
        <b/>
        <sz val="14"/>
        <color theme="1"/>
        <rFont val="Calibri"/>
        <family val="2"/>
        <charset val="204"/>
        <scheme val="minor"/>
      </rPr>
      <t>t</t>
    </r>
    <r>
      <rPr>
        <b/>
        <sz val="10"/>
        <color theme="1"/>
        <rFont val="Calibri"/>
        <family val="2"/>
        <charset val="204"/>
        <scheme val="minor"/>
      </rPr>
      <t>p</t>
    </r>
  </si>
  <si>
    <t xml:space="preserve"> λ</t>
  </si>
  <si>
    <t xml:space="preserve"> α </t>
  </si>
  <si>
    <t>(mrad)</t>
  </si>
  <si>
    <r>
      <t>T</t>
    </r>
    <r>
      <rPr>
        <sz val="8"/>
        <color theme="1"/>
        <rFont val="Calibri"/>
        <family val="2"/>
        <charset val="204"/>
        <scheme val="minor"/>
      </rPr>
      <t>2</t>
    </r>
  </si>
  <si>
    <t xml:space="preserve">Wavelength </t>
  </si>
  <si>
    <t>auxiliary data and input data  warnings</t>
  </si>
  <si>
    <r>
      <t>t</t>
    </r>
    <r>
      <rPr>
        <sz val="12"/>
        <color theme="1"/>
        <rFont val="Calibri"/>
        <family val="2"/>
        <charset val="204"/>
        <scheme val="minor"/>
      </rPr>
      <t>sp</t>
    </r>
  </si>
  <si>
    <r>
      <t>T</t>
    </r>
    <r>
      <rPr>
        <b/>
        <i/>
        <sz val="8"/>
        <color rgb="FF00B0F0"/>
        <rFont val="Times New Roman"/>
        <family val="1"/>
        <charset val="204"/>
      </rPr>
      <t>2</t>
    </r>
  </si>
  <si>
    <t>n pulse</t>
  </si>
  <si>
    <t>Resultant MPE</t>
  </si>
  <si>
    <t>Wavelength    λ</t>
  </si>
  <si>
    <r>
      <rPr>
        <b/>
        <sz val="10"/>
        <color theme="1"/>
        <rFont val="Calibri"/>
        <family val="2"/>
        <charset val="204"/>
        <scheme val="minor"/>
      </rPr>
      <t>Pause between pulses</t>
    </r>
    <r>
      <rPr>
        <b/>
        <sz val="11"/>
        <color theme="1"/>
        <rFont val="Calibri"/>
        <family val="2"/>
        <charset val="204"/>
        <scheme val="minor"/>
      </rPr>
      <t xml:space="preserve"> </t>
    </r>
    <r>
      <rPr>
        <b/>
        <sz val="14"/>
        <color theme="1"/>
        <rFont val="Calibri"/>
        <family val="2"/>
        <charset val="204"/>
        <scheme val="minor"/>
      </rPr>
      <t>t</t>
    </r>
    <r>
      <rPr>
        <b/>
        <sz val="10"/>
        <color theme="1"/>
        <rFont val="Calibri"/>
        <family val="2"/>
        <charset val="204"/>
        <scheme val="minor"/>
      </rPr>
      <t>p</t>
    </r>
  </si>
  <si>
    <r>
      <t xml:space="preserve">Single pulse duration </t>
    </r>
    <r>
      <rPr>
        <b/>
        <sz val="14"/>
        <color theme="1"/>
        <rFont val="Calibri"/>
        <family val="2"/>
        <charset val="204"/>
        <scheme val="minor"/>
      </rPr>
      <t>tsp</t>
    </r>
  </si>
  <si>
    <r>
      <t>Source viewing angle</t>
    </r>
    <r>
      <rPr>
        <b/>
        <sz val="14"/>
        <color theme="1"/>
        <rFont val="Calibri"/>
        <family val="2"/>
        <charset val="204"/>
      </rPr>
      <t xml:space="preserve"> α</t>
    </r>
  </si>
  <si>
    <t>Rule 2. Train average-power limit.</t>
  </si>
  <si>
    <t>Rule 3. Train repetitive-pulse limit</t>
  </si>
  <si>
    <t>Resultant Minimum Permissible Exposure (MPE)</t>
  </si>
  <si>
    <t>MPE/pulse Rule 1. Single-pulse limit.</t>
  </si>
  <si>
    <t>MPE/pulse Rule 2. Average-power limit.</t>
  </si>
  <si>
    <t>MPE/pulse Rule 3. Repetitive-pulse limit:</t>
  </si>
  <si>
    <t>Number of pulses in single train</t>
  </si>
  <si>
    <t>Number of trains  in sequence</t>
  </si>
  <si>
    <r>
      <t>Train durarion</t>
    </r>
    <r>
      <rPr>
        <b/>
        <sz val="16"/>
        <color theme="1"/>
        <rFont val="Calibri"/>
        <family val="2"/>
        <charset val="204"/>
        <scheme val="minor"/>
      </rPr>
      <t>T</t>
    </r>
    <r>
      <rPr>
        <b/>
        <sz val="9"/>
        <color theme="1"/>
        <rFont val="Calibri"/>
        <family val="2"/>
        <charset val="204"/>
        <scheme val="minor"/>
      </rPr>
      <t>2b</t>
    </r>
  </si>
  <si>
    <t>Rule 2</t>
  </si>
  <si>
    <t>Rule 1</t>
  </si>
  <si>
    <t>tsp_b</t>
  </si>
  <si>
    <t>Resulting MPE:</t>
  </si>
  <si>
    <t>Rule 2a. Sequence average power limit</t>
  </si>
  <si>
    <t>Rule 3a. Sequence repetitive-train limit</t>
  </si>
  <si>
    <t>Rule 3</t>
  </si>
  <si>
    <t xml:space="preserve">tsp_c </t>
  </si>
  <si>
    <t>n pulse/ seq</t>
  </si>
  <si>
    <t>n pulse/train</t>
  </si>
  <si>
    <t>Uiser guide</t>
  </si>
  <si>
    <t xml:space="preserve">   </t>
  </si>
  <si>
    <t>format of cells that are aimed for data input</t>
  </si>
  <si>
    <t>format of cells that are aimed for result displaying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</si>
</sst>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E+00"/>
  </numFmts>
  <fonts count="67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BF8F00"/>
      <name val="Calibri"/>
      <family val="2"/>
      <charset val="204"/>
      <scheme val="minor"/>
    </font>
    <font>
      <sz val="11"/>
      <color rgb="FF00B0F0"/>
      <name val="Calibri"/>
      <family val="2"/>
      <charset val="204"/>
      <scheme val="minor"/>
    </font>
    <font>
      <sz val="11"/>
      <color rgb="FF92D050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9.5"/>
      <color rgb="FFBF8F00"/>
      <name val="Times New Roman"/>
      <family val="1"/>
      <charset val="204"/>
    </font>
    <font>
      <sz val="9.5"/>
      <color rgb="FF00B0F0"/>
      <name val="Times New Roman"/>
      <family val="1"/>
      <charset val="204"/>
    </font>
    <font>
      <sz val="9.5"/>
      <color rgb="FF92D050"/>
      <name val="Times New Roman"/>
      <family val="1"/>
      <charset val="204"/>
    </font>
    <font>
      <i/>
      <sz val="9.5"/>
      <color theme="1"/>
      <name val="Times New Roman"/>
      <family val="1"/>
      <charset val="204"/>
    </font>
    <font>
      <vertAlign val="superscript"/>
      <sz val="9.5"/>
      <color theme="1"/>
      <name val="Times New Roman"/>
      <family val="1"/>
      <charset val="204"/>
    </font>
    <font>
      <i/>
      <sz val="9.5"/>
      <color rgb="FFFF00FF"/>
      <name val="Times New Roman"/>
      <family val="1"/>
      <charset val="204"/>
    </font>
    <font>
      <sz val="6"/>
      <color rgb="FFFF00FF"/>
      <name val="Times New Roman"/>
      <family val="1"/>
      <charset val="204"/>
    </font>
    <font>
      <i/>
      <sz val="9.5"/>
      <color rgb="FF00B0F0"/>
      <name val="Times New Roman"/>
      <family val="1"/>
      <charset val="204"/>
    </font>
    <font>
      <sz val="6"/>
      <color rgb="FF00B0F0"/>
      <name val="Times New Roman"/>
      <family val="1"/>
      <charset val="204"/>
    </font>
    <font>
      <sz val="9"/>
      <color rgb="FF00B0F0"/>
      <name val="Times New Roman"/>
      <family val="1"/>
      <charset val="204"/>
    </font>
    <font>
      <sz val="11"/>
      <color rgb="FFFF00FF"/>
      <name val="Calibri"/>
      <family val="2"/>
      <charset val="204"/>
      <scheme val="minor"/>
    </font>
    <font>
      <vertAlign val="superscript"/>
      <sz val="11"/>
      <color rgb="FF00B0F0"/>
      <name val="Calibri"/>
      <family val="2"/>
      <charset val="204"/>
      <scheme val="minor"/>
    </font>
    <font>
      <vertAlign val="superscript"/>
      <sz val="11"/>
      <color rgb="FFFF00FF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color rgb="FFBF8F00"/>
      <name val="Calibri"/>
      <family val="2"/>
      <charset val="204"/>
      <scheme val="minor"/>
    </font>
    <font>
      <b/>
      <sz val="11"/>
      <color rgb="FF00B0F0"/>
      <name val="Calibri"/>
      <family val="2"/>
      <charset val="204"/>
      <scheme val="minor"/>
    </font>
    <font>
      <b/>
      <sz val="11"/>
      <color rgb="FF92D050"/>
      <name val="Calibri"/>
      <family val="2"/>
      <charset val="204"/>
      <scheme val="minor"/>
    </font>
    <font>
      <b/>
      <i/>
      <sz val="9.5"/>
      <color rgb="FFFF00FF"/>
      <name val="Times New Roman"/>
      <family val="1"/>
      <charset val="204"/>
    </font>
    <font>
      <b/>
      <sz val="6"/>
      <color rgb="FFFF00FF"/>
      <name val="Times New Roman"/>
      <family val="1"/>
      <charset val="204"/>
    </font>
    <font>
      <b/>
      <i/>
      <sz val="9.5"/>
      <color rgb="FF00B0F0"/>
      <name val="Times New Roman"/>
      <family val="1"/>
      <charset val="204"/>
    </font>
    <font>
      <b/>
      <sz val="6"/>
      <color rgb="FF00B0F0"/>
      <name val="Times New Roman"/>
      <family val="1"/>
      <charset val="204"/>
    </font>
    <font>
      <b/>
      <sz val="12"/>
      <color rgb="FF363636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  <font>
      <b/>
      <i/>
      <sz val="12"/>
      <color rgb="FFFF00FF"/>
      <name val="Times New Roman"/>
      <family val="1"/>
      <charset val="204"/>
    </font>
    <font>
      <b/>
      <vertAlign val="subscript"/>
      <sz val="12"/>
      <color rgb="FFFF00FF"/>
      <name val="Times New Roman"/>
      <family val="1"/>
      <charset val="204"/>
    </font>
    <font>
      <i/>
      <sz val="12"/>
      <color rgb="FFC4591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vertAlign val="superscript"/>
      <sz val="14"/>
      <color rgb="FFC45911"/>
      <name val="Calibri"/>
      <family val="2"/>
      <charset val="204"/>
      <scheme val="minor"/>
    </font>
    <font>
      <i/>
      <sz val="12"/>
      <color rgb="FF00B0F0"/>
      <name val="Times New Roman"/>
      <family val="1"/>
      <charset val="204"/>
    </font>
    <font>
      <vertAlign val="subscript"/>
      <sz val="12"/>
      <color rgb="FF00B0F0"/>
      <name val="Times New Roman"/>
      <family val="1"/>
      <charset val="204"/>
    </font>
    <font>
      <b/>
      <vertAlign val="superscript"/>
      <sz val="14"/>
      <color rgb="FF00B0F0"/>
      <name val="Calibri"/>
      <family val="2"/>
      <charset val="204"/>
      <scheme val="minor"/>
    </font>
    <font>
      <vertAlign val="superscript"/>
      <sz val="12"/>
      <color rgb="FF00B0F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vertAlign val="superscript"/>
      <sz val="12"/>
      <color rgb="FF00B050"/>
      <name val="Times New Roman"/>
      <family val="1"/>
      <charset val="204"/>
    </font>
    <font>
      <b/>
      <vertAlign val="superscript"/>
      <sz val="14"/>
      <color rgb="FF92D050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</font>
    <font>
      <b/>
      <sz val="16"/>
      <color theme="1"/>
      <name val="Calibri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i/>
      <sz val="8"/>
      <color rgb="FF00B0F0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i/>
      <sz val="18"/>
      <color theme="1"/>
      <name val="Calibri"/>
      <family val="2"/>
      <charset val="204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</fills>
  <borders count="8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 style="double">
        <color rgb="FFFF0000"/>
      </top>
      <bottom style="double">
        <color rgb="FFFF0000"/>
      </bottom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 style="double">
        <color rgb="FFFF0000"/>
      </right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ck">
        <color theme="5" tint="-0.249977111117893"/>
      </left>
      <right/>
      <top style="thick">
        <color theme="5" tint="-0.249977111117893"/>
      </top>
      <bottom style="thick">
        <color theme="5" tint="-0.249977111117893"/>
      </bottom>
      <diagonal/>
    </border>
    <border>
      <left/>
      <right style="thick">
        <color theme="5" tint="-0.249977111117893"/>
      </right>
      <top style="thick">
        <color theme="5" tint="-0.249977111117893"/>
      </top>
      <bottom style="thick">
        <color theme="5" tint="-0.249977111117893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/>
      <right style="thin">
        <color theme="5"/>
      </right>
      <top/>
      <bottom/>
      <diagonal/>
    </border>
    <border>
      <left style="medium">
        <color theme="5"/>
      </left>
      <right/>
      <top style="medium">
        <color theme="5"/>
      </top>
      <bottom/>
      <diagonal/>
    </border>
    <border>
      <left/>
      <right/>
      <top style="medium">
        <color theme="5"/>
      </top>
      <bottom/>
      <diagonal/>
    </border>
    <border>
      <left/>
      <right style="medium">
        <color theme="5"/>
      </right>
      <top style="medium">
        <color theme="5"/>
      </top>
      <bottom/>
      <diagonal/>
    </border>
    <border>
      <left style="medium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/>
      <right style="medium">
        <color theme="5"/>
      </right>
      <top style="thin">
        <color theme="5"/>
      </top>
      <bottom style="thin">
        <color theme="5"/>
      </bottom>
      <diagonal/>
    </border>
    <border>
      <left style="medium">
        <color theme="5"/>
      </left>
      <right/>
      <top/>
      <bottom style="medium">
        <color theme="5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medium">
        <color theme="5"/>
      </bottom>
      <diagonal/>
    </border>
    <border>
      <left style="thin">
        <color theme="5"/>
      </left>
      <right style="thin">
        <color theme="5"/>
      </right>
      <top/>
      <bottom style="medium">
        <color theme="5"/>
      </bottom>
      <diagonal/>
    </border>
    <border>
      <left/>
      <right style="medium">
        <color theme="5"/>
      </right>
      <top/>
      <bottom style="medium">
        <color theme="5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 style="thin">
        <color indexed="64"/>
      </right>
      <top/>
      <bottom style="thick">
        <color rgb="FFFF0000"/>
      </bottom>
      <diagonal/>
    </border>
    <border>
      <left/>
      <right/>
      <top style="thick">
        <color rgb="FFFF0000"/>
      </top>
      <bottom style="thin">
        <color indexed="64"/>
      </bottom>
      <diagonal/>
    </border>
    <border>
      <left/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n">
        <color rgb="FFFF0000"/>
      </left>
      <right/>
      <top/>
      <bottom/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ck">
        <color theme="5" tint="-0.249977111117893"/>
      </top>
      <bottom style="thick">
        <color theme="5" tint="-0.24997711111789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7030A0"/>
      </left>
      <right/>
      <top style="thin">
        <color rgb="FF7030A0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ck">
        <color rgb="FFFF0000"/>
      </right>
      <top/>
      <bottom/>
      <diagonal/>
    </border>
    <border>
      <left style="thick">
        <color theme="5" tint="-0.249977111117893"/>
      </left>
      <right style="thick">
        <color rgb="FFFF0000"/>
      </right>
      <top style="thick">
        <color theme="5" tint="-0.249977111117893"/>
      </top>
      <bottom style="thick">
        <color theme="5" tint="-0.249977111117893"/>
      </bottom>
      <diagonal/>
    </border>
  </borders>
  <cellStyleXfs count="1">
    <xf numFmtId="0" fontId="0" fillId="0" borderId="0"/>
  </cellStyleXfs>
  <cellXfs count="255">
    <xf numFmtId="0" fontId="0" fillId="0" borderId="0" xfId="0"/>
    <xf numFmtId="0" fontId="0" fillId="0" borderId="3" xfId="0" applyBorder="1" applyAlignment="1">
      <alignment vertical="center" wrapText="1"/>
    </xf>
    <xf numFmtId="2" fontId="0" fillId="0" borderId="0" xfId="0" applyNumberFormat="1"/>
    <xf numFmtId="2" fontId="0" fillId="2" borderId="1" xfId="0" applyNumberFormat="1" applyFill="1" applyBorder="1" applyAlignment="1">
      <alignment vertical="center" wrapText="1"/>
    </xf>
    <xf numFmtId="2" fontId="1" fillId="2" borderId="2" xfId="0" applyNumberFormat="1" applyFont="1" applyFill="1" applyBorder="1" applyAlignment="1">
      <alignment vertical="center" wrapText="1"/>
    </xf>
    <xf numFmtId="2" fontId="3" fillId="2" borderId="2" xfId="0" applyNumberFormat="1" applyFont="1" applyFill="1" applyBorder="1" applyAlignment="1">
      <alignment vertical="center" wrapText="1"/>
    </xf>
    <xf numFmtId="2" fontId="4" fillId="2" borderId="2" xfId="0" applyNumberFormat="1" applyFont="1" applyFill="1" applyBorder="1" applyAlignment="1">
      <alignment vertical="center" wrapText="1"/>
    </xf>
    <xf numFmtId="2" fontId="5" fillId="2" borderId="2" xfId="0" applyNumberFormat="1" applyFont="1" applyFill="1" applyBorder="1" applyAlignment="1">
      <alignment vertical="center" wrapText="1"/>
    </xf>
    <xf numFmtId="2" fontId="6" fillId="0" borderId="3" xfId="0" applyNumberFormat="1" applyFont="1" applyBorder="1" applyAlignment="1">
      <alignment vertical="center" wrapText="1"/>
    </xf>
    <xf numFmtId="2" fontId="1" fillId="0" borderId="4" xfId="0" applyNumberFormat="1" applyFont="1" applyBorder="1" applyAlignment="1">
      <alignment vertical="center" wrapText="1"/>
    </xf>
    <xf numFmtId="2" fontId="10" fillId="0" borderId="4" xfId="0" applyNumberFormat="1" applyFont="1" applyBorder="1" applyAlignment="1">
      <alignment vertical="center" wrapText="1"/>
    </xf>
    <xf numFmtId="2" fontId="11" fillId="0" borderId="4" xfId="0" applyNumberFormat="1" applyFont="1" applyBorder="1" applyAlignment="1">
      <alignment vertical="center" wrapText="1"/>
    </xf>
    <xf numFmtId="2" fontId="12" fillId="0" borderId="4" xfId="0" applyNumberFormat="1" applyFont="1" applyBorder="1" applyAlignment="1">
      <alignment vertical="center" wrapText="1"/>
    </xf>
    <xf numFmtId="2" fontId="13" fillId="0" borderId="3" xfId="0" applyNumberFormat="1" applyFont="1" applyBorder="1" applyAlignment="1">
      <alignment vertical="center" wrapText="1"/>
    </xf>
    <xf numFmtId="2" fontId="0" fillId="0" borderId="3" xfId="0" applyNumberFormat="1" applyBorder="1" applyAlignment="1">
      <alignment vertical="center" wrapText="1"/>
    </xf>
    <xf numFmtId="2" fontId="0" fillId="0" borderId="4" xfId="0" applyNumberFormat="1" applyBorder="1" applyAlignment="1">
      <alignment vertical="center" wrapText="1"/>
    </xf>
    <xf numFmtId="2" fontId="0" fillId="0" borderId="0" xfId="0" applyNumberFormat="1" applyAlignment="1">
      <alignment vertical="center"/>
    </xf>
    <xf numFmtId="0" fontId="0" fillId="3" borderId="1" xfId="0" applyFill="1" applyBorder="1" applyAlignment="1">
      <alignment vertical="center" wrapText="1"/>
    </xf>
    <xf numFmtId="0" fontId="15" fillId="3" borderId="2" xfId="0" applyFont="1" applyFill="1" applyBorder="1" applyAlignment="1">
      <alignment vertical="center" wrapText="1"/>
    </xf>
    <xf numFmtId="0" fontId="17" fillId="3" borderId="2" xfId="0" applyFont="1" applyFill="1" applyBorder="1" applyAlignment="1">
      <alignment vertical="center" wrapText="1"/>
    </xf>
    <xf numFmtId="0" fontId="20" fillId="0" borderId="4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2" fontId="0" fillId="0" borderId="5" xfId="0" applyNumberFormat="1" applyBorder="1"/>
    <xf numFmtId="11" fontId="0" fillId="4" borderId="5" xfId="0" applyNumberFormat="1" applyFill="1" applyBorder="1"/>
    <xf numFmtId="2" fontId="0" fillId="0" borderId="0" xfId="0" applyNumberFormat="1" applyFill="1" applyBorder="1"/>
    <xf numFmtId="0" fontId="20" fillId="0" borderId="5" xfId="0" applyFont="1" applyBorder="1" applyAlignment="1">
      <alignment vertical="center" wrapText="1"/>
    </xf>
    <xf numFmtId="2" fontId="0" fillId="0" borderId="8" xfId="0" applyNumberFormat="1" applyBorder="1"/>
    <xf numFmtId="0" fontId="4" fillId="0" borderId="9" xfId="0" applyFont="1" applyBorder="1" applyAlignment="1">
      <alignment vertical="center" wrapText="1"/>
    </xf>
    <xf numFmtId="2" fontId="0" fillId="0" borderId="6" xfId="0" applyNumberFormat="1" applyBorder="1"/>
    <xf numFmtId="2" fontId="0" fillId="0" borderId="10" xfId="0" applyNumberFormat="1" applyBorder="1"/>
    <xf numFmtId="2" fontId="0" fillId="0" borderId="0" xfId="0" applyNumberFormat="1" applyBorder="1"/>
    <xf numFmtId="2" fontId="10" fillId="0" borderId="5" xfId="0" applyNumberFormat="1" applyFont="1" applyBorder="1" applyAlignment="1">
      <alignment vertical="center" wrapText="1"/>
    </xf>
    <xf numFmtId="2" fontId="11" fillId="0" borderId="5" xfId="0" applyNumberFormat="1" applyFont="1" applyBorder="1" applyAlignment="1">
      <alignment vertical="center" wrapText="1"/>
    </xf>
    <xf numFmtId="2" fontId="12" fillId="0" borderId="5" xfId="0" applyNumberFormat="1" applyFont="1" applyBorder="1" applyAlignment="1">
      <alignment vertical="center" wrapText="1"/>
    </xf>
    <xf numFmtId="2" fontId="0" fillId="0" borderId="9" xfId="0" applyNumberFormat="1" applyBorder="1"/>
    <xf numFmtId="2" fontId="0" fillId="0" borderId="10" xfId="0" applyNumberFormat="1" applyBorder="1" applyAlignment="1">
      <alignment vertical="center" wrapText="1"/>
    </xf>
    <xf numFmtId="2" fontId="0" fillId="0" borderId="7" xfId="0" applyNumberFormat="1" applyBorder="1"/>
    <xf numFmtId="164" fontId="0" fillId="0" borderId="11" xfId="0" applyNumberFormat="1" applyBorder="1"/>
    <xf numFmtId="11" fontId="0" fillId="0" borderId="12" xfId="0" applyNumberFormat="1" applyBorder="1"/>
    <xf numFmtId="2" fontId="0" fillId="0" borderId="13" xfId="0" applyNumberFormat="1" applyBorder="1"/>
    <xf numFmtId="2" fontId="0" fillId="0" borderId="14" xfId="0" applyNumberFormat="1" applyBorder="1"/>
    <xf numFmtId="2" fontId="1" fillId="0" borderId="11" xfId="0" applyNumberFormat="1" applyFont="1" applyBorder="1" applyAlignment="1">
      <alignment vertical="center" wrapText="1"/>
    </xf>
    <xf numFmtId="2" fontId="0" fillId="0" borderId="12" xfId="0" applyNumberFormat="1" applyBorder="1" applyAlignment="1">
      <alignment vertical="center" wrapText="1"/>
    </xf>
    <xf numFmtId="164" fontId="0" fillId="0" borderId="13" xfId="0" applyNumberFormat="1" applyBorder="1"/>
    <xf numFmtId="11" fontId="0" fillId="0" borderId="14" xfId="0" applyNumberFormat="1" applyBorder="1"/>
    <xf numFmtId="2" fontId="0" fillId="0" borderId="15" xfId="0" applyNumberFormat="1" applyBorder="1"/>
    <xf numFmtId="2" fontId="0" fillId="0" borderId="16" xfId="0" applyNumberFormat="1" applyBorder="1"/>
    <xf numFmtId="164" fontId="0" fillId="0" borderId="17" xfId="0" applyNumberFormat="1" applyBorder="1"/>
    <xf numFmtId="164" fontId="0" fillId="0" borderId="16" xfId="0" applyNumberFormat="1" applyBorder="1"/>
    <xf numFmtId="2" fontId="1" fillId="0" borderId="17" xfId="0" applyNumberFormat="1" applyFont="1" applyBorder="1" applyAlignment="1">
      <alignment vertical="center" wrapText="1"/>
    </xf>
    <xf numFmtId="2" fontId="10" fillId="0" borderId="18" xfId="0" applyNumberFormat="1" applyFont="1" applyBorder="1" applyAlignment="1">
      <alignment vertical="center" wrapText="1"/>
    </xf>
    <xf numFmtId="2" fontId="11" fillId="0" borderId="18" xfId="0" applyNumberFormat="1" applyFont="1" applyBorder="1" applyAlignment="1">
      <alignment vertical="center" wrapText="1"/>
    </xf>
    <xf numFmtId="2" fontId="12" fillId="0" borderId="18" xfId="0" applyNumberFormat="1" applyFont="1" applyBorder="1" applyAlignment="1">
      <alignment vertical="center" wrapText="1"/>
    </xf>
    <xf numFmtId="0" fontId="20" fillId="0" borderId="18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2" fontId="2" fillId="5" borderId="25" xfId="0" applyNumberFormat="1" applyFont="1" applyFill="1" applyBorder="1"/>
    <xf numFmtId="2" fontId="2" fillId="5" borderId="24" xfId="0" applyNumberFormat="1" applyFont="1" applyFill="1" applyBorder="1"/>
    <xf numFmtId="2" fontId="2" fillId="5" borderId="23" xfId="0" applyNumberFormat="1" applyFont="1" applyFill="1" applyBorder="1"/>
    <xf numFmtId="2" fontId="23" fillId="5" borderId="23" xfId="0" applyNumberFormat="1" applyFont="1" applyFill="1" applyBorder="1" applyAlignment="1">
      <alignment vertical="center" wrapText="1"/>
    </xf>
    <xf numFmtId="2" fontId="24" fillId="5" borderId="21" xfId="0" applyNumberFormat="1" applyFont="1" applyFill="1" applyBorder="1" applyAlignment="1">
      <alignment vertical="center" wrapText="1"/>
    </xf>
    <xf numFmtId="2" fontId="25" fillId="5" borderId="21" xfId="0" applyNumberFormat="1" applyFont="1" applyFill="1" applyBorder="1" applyAlignment="1">
      <alignment vertical="center" wrapText="1"/>
    </xf>
    <xf numFmtId="2" fontId="26" fillId="5" borderId="21" xfId="0" applyNumberFormat="1" applyFont="1" applyFill="1" applyBorder="1" applyAlignment="1">
      <alignment vertical="center" wrapText="1"/>
    </xf>
    <xf numFmtId="0" fontId="27" fillId="5" borderId="21" xfId="0" applyFont="1" applyFill="1" applyBorder="1" applyAlignment="1">
      <alignment vertical="center" wrapText="1"/>
    </xf>
    <xf numFmtId="0" fontId="29" fillId="5" borderId="22" xfId="0" applyFont="1" applyFill="1" applyBorder="1" applyAlignment="1">
      <alignment vertical="center" wrapText="1"/>
    </xf>
    <xf numFmtId="2" fontId="0" fillId="4" borderId="5" xfId="0" applyNumberFormat="1" applyFill="1" applyBorder="1"/>
    <xf numFmtId="2" fontId="2" fillId="0" borderId="5" xfId="0" applyNumberFormat="1" applyFont="1" applyBorder="1" applyAlignment="1">
      <alignment horizontal="center" vertical="center"/>
    </xf>
    <xf numFmtId="2" fontId="3" fillId="0" borderId="0" xfId="0" applyNumberFormat="1" applyFont="1" applyFill="1" applyBorder="1" applyAlignment="1">
      <alignment vertical="center" wrapText="1"/>
    </xf>
    <xf numFmtId="2" fontId="4" fillId="0" borderId="0" xfId="0" applyNumberFormat="1" applyFont="1" applyFill="1" applyBorder="1" applyAlignment="1">
      <alignment vertical="center" wrapText="1"/>
    </xf>
    <xf numFmtId="2" fontId="5" fillId="0" borderId="0" xfId="0" applyNumberFormat="1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2" fontId="31" fillId="0" borderId="5" xfId="0" applyNumberFormat="1" applyFont="1" applyBorder="1" applyAlignment="1">
      <alignment horizontal="center" vertical="center" wrapText="1"/>
    </xf>
    <xf numFmtId="0" fontId="32" fillId="0" borderId="0" xfId="0" applyFont="1"/>
    <xf numFmtId="11" fontId="0" fillId="0" borderId="0" xfId="0" applyNumberFormat="1" applyFill="1"/>
    <xf numFmtId="2" fontId="0" fillId="0" borderId="32" xfId="0" applyNumberFormat="1" applyBorder="1"/>
    <xf numFmtId="2" fontId="0" fillId="0" borderId="33" xfId="0" applyNumberFormat="1" applyBorder="1"/>
    <xf numFmtId="2" fontId="0" fillId="0" borderId="34" xfId="0" applyNumberFormat="1" applyBorder="1"/>
    <xf numFmtId="2" fontId="0" fillId="0" borderId="35" xfId="0" applyNumberFormat="1" applyBorder="1"/>
    <xf numFmtId="2" fontId="0" fillId="0" borderId="36" xfId="0" applyNumberFormat="1" applyBorder="1"/>
    <xf numFmtId="2" fontId="50" fillId="0" borderId="0" xfId="0" applyNumberFormat="1" applyFont="1" applyBorder="1"/>
    <xf numFmtId="11" fontId="50" fillId="6" borderId="38" xfId="0" applyNumberFormat="1" applyFont="1" applyFill="1" applyBorder="1"/>
    <xf numFmtId="2" fontId="50" fillId="6" borderId="39" xfId="0" applyNumberFormat="1" applyFont="1" applyFill="1" applyBorder="1"/>
    <xf numFmtId="2" fontId="50" fillId="0" borderId="40" xfId="0" applyNumberFormat="1" applyFont="1" applyBorder="1"/>
    <xf numFmtId="2" fontId="0" fillId="0" borderId="40" xfId="0" applyNumberFormat="1" applyBorder="1"/>
    <xf numFmtId="2" fontId="0" fillId="0" borderId="41" xfId="0" applyNumberFormat="1" applyBorder="1"/>
    <xf numFmtId="49" fontId="0" fillId="0" borderId="0" xfId="0" applyNumberFormat="1" applyAlignment="1">
      <alignment vertical="center" wrapText="1"/>
    </xf>
    <xf numFmtId="0" fontId="0" fillId="0" borderId="0" xfId="0" applyAlignment="1">
      <alignment horizontal="center"/>
    </xf>
    <xf numFmtId="49" fontId="0" fillId="0" borderId="0" xfId="0" applyNumberFormat="1" applyFill="1" applyAlignment="1">
      <alignment vertical="center" wrapText="1"/>
    </xf>
    <xf numFmtId="0" fontId="0" fillId="0" borderId="0" xfId="0" applyFill="1"/>
    <xf numFmtId="49" fontId="0" fillId="8" borderId="44" xfId="0" applyNumberFormat="1" applyFill="1" applyBorder="1" applyAlignment="1">
      <alignment horizontal="center" vertical="top" wrapText="1"/>
    </xf>
    <xf numFmtId="0" fontId="52" fillId="0" borderId="0" xfId="0" applyFont="1"/>
    <xf numFmtId="0" fontId="0" fillId="0" borderId="0" xfId="0" applyAlignment="1">
      <alignment wrapText="1"/>
    </xf>
    <xf numFmtId="11" fontId="51" fillId="4" borderId="48" xfId="0" applyNumberFormat="1" applyFont="1" applyFill="1" applyBorder="1" applyAlignment="1">
      <alignment horizontal="center"/>
    </xf>
    <xf numFmtId="2" fontId="51" fillId="4" borderId="49" xfId="0" applyNumberFormat="1" applyFont="1" applyFill="1" applyBorder="1"/>
    <xf numFmtId="49" fontId="2" fillId="8" borderId="45" xfId="0" applyNumberFormat="1" applyFont="1" applyFill="1" applyBorder="1" applyAlignment="1">
      <alignment horizontal="center" vertical="top" wrapText="1"/>
    </xf>
    <xf numFmtId="49" fontId="0" fillId="0" borderId="0" xfId="0" applyNumberFormat="1" applyFill="1" applyAlignment="1">
      <alignment horizontal="right" vertical="center" wrapText="1"/>
    </xf>
    <xf numFmtId="0" fontId="51" fillId="0" borderId="0" xfId="0" applyFont="1" applyAlignment="1">
      <alignment horizontal="right"/>
    </xf>
    <xf numFmtId="0" fontId="52" fillId="0" borderId="36" xfId="0" applyFont="1" applyBorder="1"/>
    <xf numFmtId="0" fontId="51" fillId="7" borderId="50" xfId="0" applyFont="1" applyFill="1" applyBorder="1" applyAlignment="1">
      <alignment horizontal="center"/>
    </xf>
    <xf numFmtId="0" fontId="51" fillId="7" borderId="46" xfId="0" applyFont="1" applyFill="1" applyBorder="1" applyAlignment="1">
      <alignment horizontal="center"/>
    </xf>
    <xf numFmtId="11" fontId="51" fillId="7" borderId="46" xfId="0" applyNumberFormat="1" applyFont="1" applyFill="1" applyBorder="1" applyAlignment="1">
      <alignment horizontal="center"/>
    </xf>
    <xf numFmtId="0" fontId="0" fillId="0" borderId="57" xfId="0" applyBorder="1"/>
    <xf numFmtId="49" fontId="0" fillId="0" borderId="40" xfId="0" applyNumberFormat="1" applyBorder="1" applyAlignment="1">
      <alignment vertical="center" wrapText="1"/>
    </xf>
    <xf numFmtId="49" fontId="0" fillId="0" borderId="35" xfId="0" applyNumberFormat="1" applyBorder="1" applyAlignment="1">
      <alignment vertical="center" wrapText="1"/>
    </xf>
    <xf numFmtId="0" fontId="0" fillId="7" borderId="41" xfId="0" applyFill="1" applyBorder="1"/>
    <xf numFmtId="0" fontId="0" fillId="4" borderId="51" xfId="0" applyFill="1" applyBorder="1"/>
    <xf numFmtId="0" fontId="0" fillId="7" borderId="68" xfId="0" applyFill="1" applyBorder="1" applyAlignment="1">
      <alignment horizontal="right"/>
    </xf>
    <xf numFmtId="49" fontId="0" fillId="7" borderId="55" xfId="0" applyNumberFormat="1" applyFill="1" applyBorder="1" applyAlignment="1">
      <alignment horizontal="right" vertical="center" wrapText="1"/>
    </xf>
    <xf numFmtId="0" fontId="0" fillId="7" borderId="70" xfId="0" applyFill="1" applyBorder="1"/>
    <xf numFmtId="0" fontId="53" fillId="7" borderId="69" xfId="0" applyFont="1" applyFill="1" applyBorder="1" applyAlignment="1">
      <alignment horizontal="center"/>
    </xf>
    <xf numFmtId="0" fontId="53" fillId="7" borderId="40" xfId="0" applyFont="1" applyFill="1" applyBorder="1" applyAlignment="1">
      <alignment horizontal="center"/>
    </xf>
    <xf numFmtId="0" fontId="53" fillId="4" borderId="52" xfId="0" applyFont="1" applyFill="1" applyBorder="1" applyAlignment="1">
      <alignment horizontal="center"/>
    </xf>
    <xf numFmtId="0" fontId="0" fillId="4" borderId="47" xfId="0" applyFill="1" applyBorder="1" applyAlignment="1">
      <alignment horizontal="right"/>
    </xf>
    <xf numFmtId="49" fontId="32" fillId="0" borderId="67" xfId="0" applyNumberFormat="1" applyFont="1" applyBorder="1" applyAlignment="1">
      <alignment vertical="center" wrapText="1"/>
    </xf>
    <xf numFmtId="2" fontId="0" fillId="0" borderId="0" xfId="0" applyNumberFormat="1" applyAlignment="1">
      <alignment wrapText="1"/>
    </xf>
    <xf numFmtId="2" fontId="0" fillId="0" borderId="71" xfId="0" applyNumberFormat="1" applyFill="1" applyBorder="1"/>
    <xf numFmtId="2" fontId="0" fillId="0" borderId="0" xfId="0" applyNumberFormat="1" applyBorder="1" applyAlignment="1">
      <alignment vertical="center" wrapText="1"/>
    </xf>
    <xf numFmtId="2" fontId="0" fillId="0" borderId="0" xfId="0" applyNumberFormat="1" applyBorder="1" applyAlignment="1">
      <alignment vertical="center"/>
    </xf>
    <xf numFmtId="2" fontId="13" fillId="0" borderId="75" xfId="0" applyNumberFormat="1" applyFont="1" applyBorder="1" applyAlignment="1">
      <alignment vertical="center" wrapText="1"/>
    </xf>
    <xf numFmtId="2" fontId="1" fillId="0" borderId="76" xfId="0" applyNumberFormat="1" applyFont="1" applyBorder="1" applyAlignment="1">
      <alignment vertical="center" wrapText="1"/>
    </xf>
    <xf numFmtId="2" fontId="10" fillId="0" borderId="76" xfId="0" applyNumberFormat="1" applyFont="1" applyBorder="1" applyAlignment="1">
      <alignment vertical="center" wrapText="1"/>
    </xf>
    <xf numFmtId="2" fontId="11" fillId="0" borderId="76" xfId="0" applyNumberFormat="1" applyFont="1" applyBorder="1" applyAlignment="1">
      <alignment vertical="center" wrapText="1"/>
    </xf>
    <xf numFmtId="2" fontId="12" fillId="0" borderId="76" xfId="0" applyNumberFormat="1" applyFont="1" applyBorder="1" applyAlignment="1">
      <alignment vertical="center" wrapText="1"/>
    </xf>
    <xf numFmtId="2" fontId="50" fillId="0" borderId="0" xfId="0" applyNumberFormat="1" applyFont="1" applyFill="1" applyBorder="1" applyAlignment="1"/>
    <xf numFmtId="49" fontId="57" fillId="8" borderId="44" xfId="0" applyNumberFormat="1" applyFont="1" applyFill="1" applyBorder="1" applyAlignment="1">
      <alignment horizontal="center" vertical="top" wrapText="1"/>
    </xf>
    <xf numFmtId="49" fontId="58" fillId="8" borderId="44" xfId="0" applyNumberFormat="1" applyFont="1" applyFill="1" applyBorder="1" applyAlignment="1">
      <alignment horizontal="center" vertical="top" wrapText="1"/>
    </xf>
    <xf numFmtId="49" fontId="54" fillId="8" borderId="44" xfId="0" applyNumberFormat="1" applyFont="1" applyFill="1" applyBorder="1" applyAlignment="1">
      <alignment horizontal="center" vertical="top" wrapText="1"/>
    </xf>
    <xf numFmtId="49" fontId="2" fillId="8" borderId="44" xfId="0" applyNumberFormat="1" applyFont="1" applyFill="1" applyBorder="1" applyAlignment="1">
      <alignment horizontal="center" vertical="top" wrapText="1"/>
    </xf>
    <xf numFmtId="11" fontId="51" fillId="7" borderId="50" xfId="0" applyNumberFormat="1" applyFont="1" applyFill="1" applyBorder="1" applyAlignment="1">
      <alignment horizontal="center"/>
    </xf>
    <xf numFmtId="0" fontId="1" fillId="0" borderId="0" xfId="0" applyFont="1"/>
    <xf numFmtId="0" fontId="51" fillId="10" borderId="50" xfId="0" applyFont="1" applyFill="1" applyBorder="1" applyAlignment="1">
      <alignment horizontal="center"/>
    </xf>
    <xf numFmtId="2" fontId="50" fillId="0" borderId="0" xfId="0" applyNumberFormat="1" applyFont="1" applyFill="1" applyBorder="1" applyAlignment="1">
      <alignment horizontal="center"/>
    </xf>
    <xf numFmtId="2" fontId="50" fillId="0" borderId="35" xfId="0" applyNumberFormat="1" applyFont="1" applyFill="1" applyBorder="1" applyAlignment="1"/>
    <xf numFmtId="164" fontId="0" fillId="0" borderId="0" xfId="0" applyNumberFormat="1" applyBorder="1"/>
    <xf numFmtId="2" fontId="1" fillId="0" borderId="0" xfId="0" applyNumberFormat="1" applyFont="1" applyBorder="1" applyAlignment="1">
      <alignment vertical="center" wrapText="1"/>
    </xf>
    <xf numFmtId="2" fontId="10" fillId="0" borderId="0" xfId="0" applyNumberFormat="1" applyFont="1" applyBorder="1" applyAlignment="1">
      <alignment vertical="center" wrapText="1"/>
    </xf>
    <xf numFmtId="2" fontId="11" fillId="0" borderId="0" xfId="0" applyNumberFormat="1" applyFont="1" applyBorder="1" applyAlignment="1">
      <alignment vertical="center" wrapText="1"/>
    </xf>
    <xf numFmtId="2" fontId="12" fillId="0" borderId="0" xfId="0" applyNumberFormat="1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2" fontId="50" fillId="0" borderId="0" xfId="0" applyNumberFormat="1" applyFont="1" applyFill="1" applyBorder="1" applyAlignment="1">
      <alignment horizontal="left"/>
    </xf>
    <xf numFmtId="2" fontId="0" fillId="0" borderId="18" xfId="0" applyNumberFormat="1" applyBorder="1"/>
    <xf numFmtId="2" fontId="0" fillId="0" borderId="42" xfId="0" applyNumberFormat="1" applyBorder="1"/>
    <xf numFmtId="2" fontId="50" fillId="0" borderId="32" xfId="0" applyNumberFormat="1" applyFont="1" applyFill="1" applyBorder="1" applyAlignment="1"/>
    <xf numFmtId="2" fontId="50" fillId="0" borderId="34" xfId="0" applyNumberFormat="1" applyFont="1" applyFill="1" applyBorder="1" applyAlignment="1"/>
    <xf numFmtId="2" fontId="50" fillId="6" borderId="40" xfId="0" applyNumberFormat="1" applyFont="1" applyFill="1" applyBorder="1"/>
    <xf numFmtId="0" fontId="0" fillId="0" borderId="35" xfId="0" applyFill="1" applyBorder="1" applyAlignment="1">
      <alignment vertical="center" wrapText="1"/>
    </xf>
    <xf numFmtId="0" fontId="0" fillId="0" borderId="0" xfId="0" applyBorder="1"/>
    <xf numFmtId="0" fontId="0" fillId="0" borderId="36" xfId="0" applyBorder="1"/>
    <xf numFmtId="0" fontId="0" fillId="0" borderId="35" xfId="0" applyBorder="1"/>
    <xf numFmtId="11" fontId="50" fillId="11" borderId="35" xfId="0" applyNumberFormat="1" applyFont="1" applyFill="1" applyBorder="1"/>
    <xf numFmtId="2" fontId="50" fillId="11" borderId="0" xfId="0" applyNumberFormat="1" applyFont="1" applyFill="1" applyBorder="1"/>
    <xf numFmtId="11" fontId="50" fillId="11" borderId="38" xfId="0" applyNumberFormat="1" applyFont="1" applyFill="1" applyBorder="1"/>
    <xf numFmtId="2" fontId="50" fillId="11" borderId="40" xfId="0" applyNumberFormat="1" applyFont="1" applyFill="1" applyBorder="1"/>
    <xf numFmtId="11" fontId="50" fillId="0" borderId="0" xfId="0" applyNumberFormat="1" applyFont="1" applyFill="1" applyBorder="1"/>
    <xf numFmtId="2" fontId="50" fillId="0" borderId="0" xfId="0" applyNumberFormat="1" applyFont="1" applyFill="1" applyBorder="1"/>
    <xf numFmtId="0" fontId="0" fillId="0" borderId="0" xfId="0" applyFill="1" applyBorder="1"/>
    <xf numFmtId="2" fontId="2" fillId="0" borderId="0" xfId="0" applyNumberFormat="1" applyFont="1" applyFill="1" applyBorder="1"/>
    <xf numFmtId="2" fontId="23" fillId="0" borderId="0" xfId="0" applyNumberFormat="1" applyFont="1" applyFill="1" applyBorder="1" applyAlignment="1">
      <alignment vertical="center" wrapText="1"/>
    </xf>
    <xf numFmtId="2" fontId="24" fillId="0" borderId="0" xfId="0" applyNumberFormat="1" applyFont="1" applyFill="1" applyBorder="1" applyAlignment="1">
      <alignment vertical="center" wrapText="1"/>
    </xf>
    <xf numFmtId="2" fontId="25" fillId="0" borderId="0" xfId="0" applyNumberFormat="1" applyFont="1" applyFill="1" applyBorder="1" applyAlignment="1">
      <alignment vertical="center" wrapText="1"/>
    </xf>
    <xf numFmtId="2" fontId="26" fillId="0" borderId="0" xfId="0" applyNumberFormat="1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vertical="center" wrapText="1"/>
    </xf>
    <xf numFmtId="164" fontId="0" fillId="0" borderId="0" xfId="0" applyNumberFormat="1" applyFill="1" applyBorder="1"/>
    <xf numFmtId="2" fontId="1" fillId="0" borderId="0" xfId="0" applyNumberFormat="1" applyFont="1" applyFill="1" applyBorder="1" applyAlignment="1">
      <alignment vertical="center" wrapText="1"/>
    </xf>
    <xf numFmtId="2" fontId="10" fillId="0" borderId="0" xfId="0" applyNumberFormat="1" applyFont="1" applyFill="1" applyBorder="1" applyAlignment="1">
      <alignment vertical="center" wrapText="1"/>
    </xf>
    <xf numFmtId="2" fontId="11" fillId="0" borderId="0" xfId="0" applyNumberFormat="1" applyFont="1" applyFill="1" applyBorder="1" applyAlignment="1">
      <alignment vertical="center" wrapText="1"/>
    </xf>
    <xf numFmtId="2" fontId="12" fillId="0" borderId="0" xfId="0" applyNumberFormat="1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1" fontId="0" fillId="0" borderId="0" xfId="0" applyNumberFormat="1" applyFill="1" applyBorder="1"/>
    <xf numFmtId="2" fontId="0" fillId="0" borderId="0" xfId="0" applyNumberFormat="1" applyFill="1" applyBorder="1" applyAlignment="1">
      <alignment vertical="center" wrapText="1"/>
    </xf>
    <xf numFmtId="11" fontId="63" fillId="12" borderId="48" xfId="0" applyNumberFormat="1" applyFont="1" applyFill="1" applyBorder="1" applyAlignment="1">
      <alignment horizontal="center" vertical="center"/>
    </xf>
    <xf numFmtId="2" fontId="63" fillId="12" borderId="49" xfId="0" applyNumberFormat="1" applyFont="1" applyFill="1" applyBorder="1" applyAlignment="1">
      <alignment vertical="center"/>
    </xf>
    <xf numFmtId="49" fontId="64" fillId="8" borderId="44" xfId="0" applyNumberFormat="1" applyFont="1" applyFill="1" applyBorder="1" applyAlignment="1">
      <alignment horizontal="center" vertical="top" wrapText="1"/>
    </xf>
    <xf numFmtId="49" fontId="65" fillId="8" borderId="44" xfId="0" applyNumberFormat="1" applyFont="1" applyFill="1" applyBorder="1" applyAlignment="1">
      <alignment horizontal="center" vertical="top" wrapText="1"/>
    </xf>
    <xf numFmtId="11" fontId="63" fillId="12" borderId="48" xfId="0" applyNumberFormat="1" applyFont="1" applyFill="1" applyBorder="1" applyAlignment="1">
      <alignment horizontal="center" vertical="center" wrapText="1"/>
    </xf>
    <xf numFmtId="2" fontId="63" fillId="12" borderId="49" xfId="0" applyNumberFormat="1" applyFont="1" applyFill="1" applyBorder="1" applyAlignment="1">
      <alignment vertical="center" wrapText="1"/>
    </xf>
    <xf numFmtId="0" fontId="56" fillId="0" borderId="61" xfId="0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11" fontId="0" fillId="0" borderId="65" xfId="0" applyNumberFormat="1" applyBorder="1" applyAlignment="1">
      <alignment horizontal="center" vertical="center"/>
    </xf>
    <xf numFmtId="49" fontId="0" fillId="8" borderId="78" xfId="0" applyNumberFormat="1" applyFill="1" applyBorder="1" applyAlignment="1">
      <alignment horizontal="center" vertical="top" wrapText="1"/>
    </xf>
    <xf numFmtId="49" fontId="2" fillId="8" borderId="79" xfId="0" applyNumberFormat="1" applyFont="1" applyFill="1" applyBorder="1" applyAlignment="1">
      <alignment horizontal="center" vertical="top" wrapText="1"/>
    </xf>
    <xf numFmtId="0" fontId="54" fillId="0" borderId="0" xfId="0" applyFont="1" applyFill="1" applyBorder="1" applyAlignment="1"/>
    <xf numFmtId="49" fontId="0" fillId="0" borderId="0" xfId="0" applyNumberForma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11" fontId="51" fillId="0" borderId="0" xfId="0" applyNumberFormat="1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/>
    </xf>
    <xf numFmtId="2" fontId="0" fillId="7" borderId="5" xfId="0" applyNumberFormat="1" applyFill="1" applyBorder="1" applyAlignment="1">
      <alignment vertical="top" wrapText="1"/>
    </xf>
    <xf numFmtId="2" fontId="0" fillId="13" borderId="5" xfId="0" applyNumberFormat="1" applyFill="1" applyBorder="1" applyAlignment="1">
      <alignment vertical="top" wrapText="1"/>
    </xf>
    <xf numFmtId="2" fontId="66" fillId="0" borderId="0" xfId="0" applyNumberFormat="1" applyFont="1" applyFill="1" applyBorder="1" applyAlignment="1"/>
    <xf numFmtId="11" fontId="50" fillId="11" borderId="0" xfId="0" applyNumberFormat="1" applyFont="1" applyFill="1" applyBorder="1"/>
    <xf numFmtId="0" fontId="0" fillId="0" borderId="36" xfId="0" applyFill="1" applyBorder="1"/>
    <xf numFmtId="2" fontId="0" fillId="0" borderId="0" xfId="0" applyNumberFormat="1" applyFill="1" applyBorder="1" applyAlignment="1">
      <alignment vertical="top" wrapText="1"/>
    </xf>
    <xf numFmtId="2" fontId="0" fillId="0" borderId="36" xfId="0" applyNumberFormat="1" applyFill="1" applyBorder="1"/>
    <xf numFmtId="2" fontId="0" fillId="0" borderId="40" xfId="0" applyNumberFormat="1" applyFill="1" applyBorder="1"/>
    <xf numFmtId="0" fontId="0" fillId="0" borderId="5" xfId="0" applyBorder="1"/>
    <xf numFmtId="2" fontId="0" fillId="0" borderId="78" xfId="0" applyNumberFormat="1" applyBorder="1"/>
    <xf numFmtId="0" fontId="0" fillId="0" borderId="40" xfId="0" applyBorder="1"/>
    <xf numFmtId="0" fontId="0" fillId="0" borderId="41" xfId="0" applyBorder="1"/>
    <xf numFmtId="0" fontId="0" fillId="0" borderId="0" xfId="0" applyBorder="1" applyAlignment="1">
      <alignment horizontal="center" vertical="center"/>
    </xf>
    <xf numFmtId="11" fontId="0" fillId="0" borderId="0" xfId="0" applyNumberFormat="1" applyBorder="1" applyAlignment="1">
      <alignment horizontal="center" vertical="center"/>
    </xf>
    <xf numFmtId="11" fontId="0" fillId="0" borderId="66" xfId="0" applyNumberFormat="1" applyBorder="1" applyAlignment="1">
      <alignment horizontal="center" vertical="center"/>
    </xf>
    <xf numFmtId="2" fontId="0" fillId="0" borderId="80" xfId="0" applyNumberFormat="1" applyBorder="1"/>
    <xf numFmtId="2" fontId="0" fillId="0" borderId="81" xfId="0" applyNumberFormat="1" applyBorder="1"/>
    <xf numFmtId="2" fontId="0" fillId="0" borderId="44" xfId="0" applyNumberFormat="1" applyBorder="1"/>
    <xf numFmtId="0" fontId="51" fillId="7" borderId="50" xfId="0" applyFont="1" applyFill="1" applyBorder="1" applyAlignment="1"/>
    <xf numFmtId="0" fontId="51" fillId="7" borderId="52" xfId="0" applyFont="1" applyFill="1" applyBorder="1" applyAlignment="1"/>
    <xf numFmtId="0" fontId="51" fillId="7" borderId="51" xfId="0" applyFont="1" applyFill="1" applyBorder="1" applyAlignment="1"/>
    <xf numFmtId="0" fontId="51" fillId="7" borderId="46" xfId="0" applyFont="1" applyFill="1" applyBorder="1" applyAlignment="1"/>
    <xf numFmtId="0" fontId="63" fillId="12" borderId="77" xfId="0" applyFont="1" applyFill="1" applyBorder="1" applyAlignment="1">
      <alignment horizontal="center" vertical="center"/>
    </xf>
    <xf numFmtId="0" fontId="63" fillId="12" borderId="82" xfId="0" applyFont="1" applyFill="1" applyBorder="1" applyAlignment="1">
      <alignment vertical="center"/>
    </xf>
    <xf numFmtId="0" fontId="63" fillId="12" borderId="48" xfId="0" applyFont="1" applyFill="1" applyBorder="1" applyAlignment="1">
      <alignment horizontal="center" vertical="center"/>
    </xf>
    <xf numFmtId="0" fontId="63" fillId="12" borderId="77" xfId="0" applyFont="1" applyFill="1" applyBorder="1" applyAlignment="1">
      <alignment horizontal="center" vertical="center"/>
    </xf>
    <xf numFmtId="0" fontId="63" fillId="12" borderId="49" xfId="0" applyFont="1" applyFill="1" applyBorder="1" applyAlignment="1">
      <alignment horizontal="center" vertical="center"/>
    </xf>
    <xf numFmtId="0" fontId="53" fillId="4" borderId="48" xfId="0" applyFont="1" applyFill="1" applyBorder="1" applyAlignment="1">
      <alignment horizontal="right" vertical="center"/>
    </xf>
    <xf numFmtId="0" fontId="53" fillId="4" borderId="49" xfId="0" applyFont="1" applyFill="1" applyBorder="1" applyAlignment="1">
      <alignment horizontal="right" vertical="center"/>
    </xf>
    <xf numFmtId="0" fontId="63" fillId="12" borderId="48" xfId="0" applyFont="1" applyFill="1" applyBorder="1" applyAlignment="1">
      <alignment horizontal="left" vertical="center"/>
    </xf>
    <xf numFmtId="0" fontId="63" fillId="12" borderId="49" xfId="0" applyFont="1" applyFill="1" applyBorder="1" applyAlignment="1">
      <alignment horizontal="left" vertical="center"/>
    </xf>
    <xf numFmtId="49" fontId="0" fillId="0" borderId="58" xfId="0" applyNumberFormat="1" applyBorder="1" applyAlignment="1">
      <alignment horizontal="center" vertical="center" wrapText="1"/>
    </xf>
    <xf numFmtId="49" fontId="0" fillId="0" borderId="59" xfId="0" applyNumberFormat="1" applyBorder="1" applyAlignment="1">
      <alignment horizontal="center" vertical="center" wrapText="1"/>
    </xf>
    <xf numFmtId="49" fontId="0" fillId="0" borderId="60" xfId="0" applyNumberFormat="1" applyBorder="1" applyAlignment="1">
      <alignment horizontal="center" vertical="center" wrapText="1"/>
    </xf>
    <xf numFmtId="0" fontId="54" fillId="9" borderId="53" xfId="0" applyFont="1" applyFill="1" applyBorder="1" applyAlignment="1">
      <alignment horizontal="center"/>
    </xf>
    <xf numFmtId="0" fontId="54" fillId="9" borderId="54" xfId="0" applyFont="1" applyFill="1" applyBorder="1" applyAlignment="1">
      <alignment horizontal="center"/>
    </xf>
    <xf numFmtId="0" fontId="53" fillId="4" borderId="48" xfId="0" applyFont="1" applyFill="1" applyBorder="1" applyAlignment="1">
      <alignment horizontal="center" vertical="center"/>
    </xf>
    <xf numFmtId="0" fontId="53" fillId="4" borderId="77" xfId="0" applyFont="1" applyFill="1" applyBorder="1" applyAlignment="1">
      <alignment horizontal="center" vertical="center"/>
    </xf>
    <xf numFmtId="0" fontId="53" fillId="4" borderId="49" xfId="0" applyFont="1" applyFill="1" applyBorder="1" applyAlignment="1">
      <alignment horizontal="center" vertical="center"/>
    </xf>
    <xf numFmtId="0" fontId="54" fillId="9" borderId="42" xfId="0" applyFont="1" applyFill="1" applyBorder="1" applyAlignment="1">
      <alignment horizontal="center"/>
    </xf>
    <xf numFmtId="0" fontId="54" fillId="9" borderId="43" xfId="0" applyFont="1" applyFill="1" applyBorder="1" applyAlignment="1">
      <alignment horizontal="center"/>
    </xf>
    <xf numFmtId="0" fontId="54" fillId="9" borderId="11" xfId="0" applyFont="1" applyFill="1" applyBorder="1" applyAlignment="1">
      <alignment horizontal="center"/>
    </xf>
    <xf numFmtId="0" fontId="54" fillId="12" borderId="48" xfId="0" applyFont="1" applyFill="1" applyBorder="1" applyAlignment="1">
      <alignment horizontal="left" vertical="center" wrapText="1"/>
    </xf>
    <xf numFmtId="0" fontId="54" fillId="12" borderId="49" xfId="0" applyFont="1" applyFill="1" applyBorder="1" applyAlignment="1">
      <alignment horizontal="left" vertical="center" wrapText="1"/>
    </xf>
    <xf numFmtId="2" fontId="0" fillId="0" borderId="26" xfId="0" applyNumberForma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0" fillId="0" borderId="28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2" fontId="50" fillId="0" borderId="37" xfId="0" applyNumberFormat="1" applyFont="1" applyFill="1" applyBorder="1" applyAlignment="1">
      <alignment horizontal="center"/>
    </xf>
    <xf numFmtId="2" fontId="50" fillId="0" borderId="31" xfId="0" applyNumberFormat="1" applyFont="1" applyFill="1" applyBorder="1" applyAlignment="1">
      <alignment horizontal="center"/>
    </xf>
    <xf numFmtId="0" fontId="32" fillId="5" borderId="72" xfId="0" applyFont="1" applyFill="1" applyBorder="1" applyAlignment="1">
      <alignment horizontal="center"/>
    </xf>
    <xf numFmtId="0" fontId="32" fillId="5" borderId="73" xfId="0" applyFont="1" applyFill="1" applyBorder="1" applyAlignment="1">
      <alignment horizontal="center"/>
    </xf>
    <xf numFmtId="0" fontId="32" fillId="5" borderId="74" xfId="0" applyFont="1" applyFill="1" applyBorder="1" applyAlignment="1">
      <alignment horizontal="center"/>
    </xf>
    <xf numFmtId="2" fontId="5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/>
    </xf>
    <xf numFmtId="2" fontId="50" fillId="0" borderId="35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FFFF"/>
      <color rgb="FFCCE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247651</xdr:colOff>
      <xdr:row>1</xdr:row>
      <xdr:rowOff>28574</xdr:rowOff>
    </xdr:from>
    <xdr:to>
      <xdr:col>11</xdr:col>
      <xdr:colOff>533401</xdr:colOff>
      <xdr:row>41</xdr:row>
      <xdr:rowOff>38100</xdr:rowOff>
    </xdr:to>
    <xdr:sp macro="" textlink="">
      <xdr:nvSpPr>
        <xdr:cNvPr id="2" name="TextBox 1"/>
        <xdr:cNvSpPr txBox="1"/>
      </xdr:nvSpPr>
      <xdr:spPr>
        <a:xfrm>
          <a:off x="247651" y="219074"/>
          <a:ext cx="6991350" cy="7858126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1. This worlsheet is aimed for computation of Maximum Permissible Exposire ( MPE) for light sources. </a:t>
          </a:r>
        </a:p>
        <a:p>
          <a:endParaRPr lang="en-US" sz="1100"/>
        </a:p>
        <a:p>
          <a:r>
            <a:rPr lang="en-US" sz="1100"/>
            <a:t>2. The</a:t>
          </a:r>
          <a:r>
            <a:rPr lang="en-US" sz="1100" baseline="0"/>
            <a:t> considered light sources must have the follow features:</a:t>
          </a:r>
        </a:p>
        <a:p>
          <a:r>
            <a:rPr lang="en-US" sz="1100" baseline="0"/>
            <a:t>          2.1 Wavelength range: </a:t>
          </a:r>
          <a:r>
            <a:rPr lang="en-US" sz="1100" b="1" baseline="0">
              <a:solidFill>
                <a:srgbClr val="FF0000"/>
              </a:solidFill>
            </a:rPr>
            <a:t>0.700 - 1.05 </a:t>
          </a:r>
          <a:r>
            <a:rPr lang="en-US" sz="1100" baseline="0"/>
            <a:t>micron </a:t>
          </a:r>
        </a:p>
        <a:p>
          <a:r>
            <a:rPr lang="en-US" sz="1100" baseline="0"/>
            <a:t>          2.2 Point or extended luminous surface</a:t>
          </a:r>
        </a:p>
        <a:p>
          <a:r>
            <a:rPr lang="en-US" sz="1100" baseline="0"/>
            <a:t>          2.3. CW or modulated in range of 10 ^-13 - 3*1-^4 sec</a:t>
          </a:r>
        </a:p>
        <a:p>
          <a:r>
            <a:rPr lang="en-US" sz="1100" baseline="0"/>
            <a:t>          2.4. Please pay attention on the data measurement units. all input data should be inserted in proper units that are marked about every cell the data is inserted in. </a:t>
          </a:r>
        </a:p>
        <a:p>
          <a:endParaRPr lang="en-US" sz="1100" baseline="0"/>
        </a:p>
        <a:p>
          <a:r>
            <a:rPr lang="en-US" sz="1100" baseline="0"/>
            <a:t>3. The sheet "Main" is the only sheet the user may insert the input data.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Other sheets contain formulas for computing and aimed for visual review and control.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editing of these sheets is not recommended becouse this may destroy the computing algorithm.  Actually these sheets are protected . Password  </a:t>
          </a:r>
          <a:r>
            <a:rPr lang="en-US" sz="11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lviv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uk-UA">
            <a:effectLst/>
          </a:endParaRPr>
        </a:p>
        <a:p>
          <a:endParaRPr lang="en-US" sz="1100" baseline="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4. Sheet "main " has 3 fields for computing of CW and modulated lighjt sources: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     4.1 Single pulse or CW operation. CW operation is modeled as a large pulse time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     4.2 Sequence of equidistant pulses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     4.3. Sequence of pulse trains (pulse-width modulation, PWM)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    These fields are independent: you may use the every field for computation of different ssources.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5. Some definitions: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     5.1 pulse train:  group of several pulses.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     5.2. Train  sequence: sequence of similar tpulse trains that have pauses between trains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     5.3 pulse/period ratio: relation of pulse duration to the pulse period expressed as number that is less than 1. If PWM is considered, then one need to insert the pulse/period ratio for pulses having maximal duration.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6. The worksheet is verified using the follow Examples computations: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main source:</a:t>
          </a:r>
        </a:p>
        <a:p>
          <a:r>
            <a:rPr lang="en-US" sz="1100" b="1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ANSI</a:t>
          </a:r>
          <a:r>
            <a:rPr 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® </a:t>
          </a:r>
          <a:r>
            <a:rPr lang="en-US" sz="1100" b="1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Z136.1 – 2007, </a:t>
          </a:r>
          <a:r>
            <a:rPr 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Revision of ANSI Z136.1-2000</a:t>
          </a:r>
        </a:p>
        <a:p>
          <a:r>
            <a:rPr lang="en-US" sz="1100" b="1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American National Standard for Safe Use of Lasers</a:t>
          </a:r>
        </a:p>
        <a:p>
          <a:r>
            <a:rPr lang="en-US" sz="1100" b="1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Laser Institute of America</a:t>
          </a:r>
        </a:p>
        <a:p>
          <a:r>
            <a:rPr lang="en-US" sz="1100" b="1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Approved March 16, 2007, American National Standards Institute, Inc.</a:t>
          </a:r>
        </a:p>
        <a:p>
          <a:endParaRPr lang="en-US" sz="1100" baseline="0"/>
        </a:p>
        <a:p>
          <a:r>
            <a:rPr lang="en-US" sz="1100" baseline="0"/>
            <a:t>6.1. </a:t>
          </a:r>
          <a:r>
            <a:rPr lang="en-US" sz="1100" b="1" i="1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Example 6. </a:t>
          </a:r>
          <a:r>
            <a:rPr lang="en-US" sz="1100" b="1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Near infrared Laser. A GaAs laser operating at room temperature has a</a:t>
          </a:r>
        </a:p>
        <a:p>
          <a:r>
            <a:rPr lang="en-US" sz="1100" b="1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peak wavelength of 0.904 </a:t>
          </a:r>
          <a:r>
            <a:rPr lang="el-GR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μ</a:t>
          </a:r>
          <a:r>
            <a:rPr lang="en-US" sz="1100" b="1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m. What is the MPE for a single pulse of 200 ns duration?</a:t>
          </a:r>
          <a:endParaRPr lang="en-US" sz="1100" baseline="0"/>
        </a:p>
        <a:p>
          <a:endParaRPr lang="en-US" sz="1100" baseline="0"/>
        </a:p>
        <a:p>
          <a:r>
            <a:rPr lang="en-US" sz="1100" baseline="0"/>
            <a:t>6.2  </a:t>
          </a:r>
          <a:r>
            <a:rPr lang="en-US" sz="1100" b="1" i="1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Example 11. </a:t>
          </a:r>
          <a:r>
            <a:rPr lang="en-US" sz="1100" b="1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Repetitive-Pulse, Near infrared Laser with Moderate PRF. Determine the</a:t>
          </a:r>
        </a:p>
        <a:p>
          <a:r>
            <a:rPr lang="en-US" sz="1100" b="1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MPE for a 0.905 </a:t>
          </a:r>
          <a:r>
            <a:rPr lang="el-GR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μ</a:t>
          </a:r>
          <a:r>
            <a:rPr lang="en-US" sz="1100" b="1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m (905 nm) (GaAs) laser which has a pulse width, </a:t>
          </a:r>
          <a:r>
            <a:rPr lang="en-US" sz="1100" b="1" i="1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t, </a:t>
          </a:r>
          <a:r>
            <a:rPr lang="en-US" sz="1100" b="1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of 100 ns</a:t>
          </a:r>
        </a:p>
        <a:p>
          <a:r>
            <a:rPr lang="en-US" sz="1100" b="1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(1</a:t>
          </a:r>
          <a:r>
            <a:rPr 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×</a:t>
          </a:r>
          <a:r>
            <a:rPr lang="en-US" sz="1100" b="1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10-7 s) and a PRF of 1 kHz.</a:t>
          </a:r>
        </a:p>
        <a:p>
          <a:endParaRPr lang="en-US" sz="1100" b="1" i="0" u="none" strike="noStrike" baseline="0" smtClean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100" b="1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6.3. </a:t>
          </a:r>
          <a:r>
            <a:rPr lang="en-US" sz="1100" b="1" i="1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Example 15. </a:t>
          </a:r>
          <a:r>
            <a:rPr lang="en-US" sz="1100" b="1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Repetitive-Pulse, Pulse Groups. Find the MPE for a mode-locked</a:t>
          </a:r>
        </a:p>
        <a:p>
          <a:r>
            <a:rPr lang="en-US" sz="1100" b="1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Nd:YAG, frequency-doubled laser 0.532 </a:t>
          </a:r>
          <a:r>
            <a:rPr lang="el-GR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μ</a:t>
          </a:r>
          <a:r>
            <a:rPr lang="en-US" sz="1100" b="1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m (532 nm) used in a pulse-code-modulated</a:t>
          </a:r>
        </a:p>
        <a:p>
          <a:r>
            <a:rPr lang="en-US" sz="1100" b="1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(PCM) communications link. The laser presents 104 “words” per second (that is,</a:t>
          </a:r>
        </a:p>
        <a:p>
          <a:r>
            <a:rPr lang="en-US" sz="1100" b="1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104 pulse groups per second) and each word consists of five hundred, 2 ps pulses, spaced</a:t>
          </a:r>
        </a:p>
        <a:p>
          <a:r>
            <a:rPr lang="en-US" sz="1100" b="1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at coded intervals such that the average pulse separation is 100 ns. The laser is a point</a:t>
          </a:r>
        </a:p>
        <a:p>
          <a:r>
            <a:rPr lang="en-US" sz="1100" b="1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source when viewed from within the beam. Compute the MPE for a 0.25 s exposure. </a:t>
          </a:r>
          <a:r>
            <a:rPr lang="en-US" sz="1100" b="1" i="0" u="sng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( adapted for  wavelength 0.905 micron)</a:t>
          </a:r>
        </a:p>
        <a:p>
          <a:endParaRPr lang="en-US" sz="1100" b="1" i="0" u="sng" strike="noStrike" baseline="0" smtClean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100" b="1" i="0" u="sng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6.3</a:t>
          </a:r>
          <a:endParaRPr lang="en-US" sz="1100" u="sng" baseline="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0"/>
        </a:p>
        <a:p>
          <a:r>
            <a:rPr lang="en-US" sz="1100" baseline="0"/>
            <a:t>	</a:t>
          </a:r>
        </a:p>
        <a:p>
          <a:endParaRPr lang="uk-UA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19</xdr:row>
      <xdr:rowOff>0</xdr:rowOff>
    </xdr:from>
    <xdr:ext cx="4019550" cy="1695450"/>
    <xdr:sp macro="" textlink="">
      <xdr:nvSpPr>
        <xdr:cNvPr id="2" name="TextBox 1"/>
        <xdr:cNvSpPr txBox="1"/>
      </xdr:nvSpPr>
      <xdr:spPr>
        <a:xfrm>
          <a:off x="0" y="3505200"/>
          <a:ext cx="4019550" cy="169545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 b="1" i="0" u="none" strike="noStrike" baseline="0" smtClean="0">
              <a:solidFill>
                <a:schemeClr val="tx1"/>
              </a:solidFill>
              <a:latin typeface="+mn-lt"/>
              <a:ea typeface="+mn-ea"/>
              <a:cs typeface="+mn-cs"/>
            </a:rPr>
            <a:t>Reference:</a:t>
          </a:r>
        </a:p>
        <a:p>
          <a:r>
            <a:rPr lang="en-US" sz="1100" b="1" i="0" u="none" strike="noStrike" baseline="0" smtClean="0">
              <a:solidFill>
                <a:schemeClr val="tx1"/>
              </a:solidFill>
              <a:latin typeface="+mn-lt"/>
              <a:ea typeface="+mn-ea"/>
              <a:cs typeface="+mn-cs"/>
            </a:rPr>
            <a:t>American National Standard  for Safe Use of Lasers </a:t>
          </a:r>
          <a:r>
            <a:rPr lang="en-US" sz="11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Z136.1-2007</a:t>
          </a:r>
          <a:endParaRPr lang="en-US" sz="1100" b="1" i="0" u="none" strike="noStrike" baseline="0" smtClean="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en-US" sz="1100" b="1" i="0" u="none" strike="noStrike" baseline="0" smtClean="0">
              <a:solidFill>
                <a:schemeClr val="tx1"/>
              </a:solidFill>
              <a:latin typeface="+mn-lt"/>
              <a:ea typeface="+mn-ea"/>
              <a:cs typeface="+mn-cs"/>
            </a:rPr>
            <a:t>   Table 5a. </a:t>
          </a:r>
          <a:r>
            <a:rPr lang="en-US" sz="1100" b="0" i="1" u="none" strike="noStrike" baseline="0" smtClean="0">
              <a:solidFill>
                <a:schemeClr val="tx1"/>
              </a:solidFill>
              <a:latin typeface="+mn-lt"/>
              <a:ea typeface="+mn-ea"/>
              <a:cs typeface="+mn-cs"/>
            </a:rPr>
            <a:t>Maximum Permissible Exposure (MPE) for Point Source Ocular Exposure to a Laser Beam</a:t>
          </a:r>
        </a:p>
        <a:p>
          <a:r>
            <a:rPr lang="en-US" sz="1100" b="1" i="0" u="none" strike="noStrike" baseline="0" smtClean="0">
              <a:solidFill>
                <a:schemeClr val="tx1"/>
              </a:solidFill>
              <a:latin typeface="+mn-lt"/>
              <a:ea typeface="+mn-ea"/>
              <a:cs typeface="+mn-cs"/>
            </a:rPr>
            <a:t> Table 5b. </a:t>
          </a:r>
          <a:r>
            <a:rPr lang="en-US" sz="1100" b="0" i="1" u="none" strike="noStrike" baseline="0" smtClean="0">
              <a:solidFill>
                <a:schemeClr val="tx1"/>
              </a:solidFill>
              <a:latin typeface="+mn-lt"/>
              <a:ea typeface="+mn-ea"/>
              <a:cs typeface="+mn-cs"/>
            </a:rPr>
            <a:t>Maximum Permissible Exposure (MPE) for Extended Source Ocular Exposure</a:t>
          </a:r>
        </a:p>
        <a:p>
          <a:r>
            <a:rPr lang="en-US" sz="1100" b="1" i="0" u="none" strike="noStrike" baseline="0" smtClean="0">
              <a:solidFill>
                <a:schemeClr val="tx1"/>
              </a:solidFill>
              <a:latin typeface="+mn-lt"/>
              <a:ea typeface="+mn-ea"/>
              <a:cs typeface="+mn-cs"/>
            </a:rPr>
            <a:t> Table 6. </a:t>
          </a:r>
          <a:r>
            <a:rPr lang="en-US" sz="1100" b="0" i="1" u="none" strike="noStrike" baseline="0" smtClean="0">
              <a:solidFill>
                <a:schemeClr val="tx1"/>
              </a:solidFill>
              <a:latin typeface="+mn-lt"/>
              <a:ea typeface="+mn-ea"/>
              <a:cs typeface="+mn-cs"/>
            </a:rPr>
            <a:t>Parameters and Correction Factors</a:t>
          </a:r>
        </a:p>
        <a:p>
          <a:r>
            <a:rPr lang="en-US" sz="1100" b="1" i="0" u="none" strike="noStrike" baseline="0" smtClean="0">
              <a:solidFill>
                <a:schemeClr val="tx1"/>
              </a:solidFill>
              <a:latin typeface="+mn-lt"/>
              <a:ea typeface="+mn-ea"/>
              <a:cs typeface="+mn-cs"/>
            </a:rPr>
            <a:t>Attached document </a:t>
          </a:r>
          <a:r>
            <a:rPr lang="en-US" sz="1100" b="0" i="1" u="none" strike="noStrike" baseline="0" smtClean="0">
              <a:solidFill>
                <a:schemeClr val="tx1"/>
              </a:solidFill>
              <a:latin typeface="+mn-lt"/>
              <a:ea typeface="+mn-ea"/>
              <a:cs typeface="+mn-cs"/>
            </a:rPr>
            <a:t>"Computing MPE table template.docx" about generalized formula derivation </a:t>
          </a:r>
          <a:endParaRPr lang="uk-UA" sz="1100" b="0" i="1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19</xdr:row>
      <xdr:rowOff>76198</xdr:rowOff>
    </xdr:from>
    <xdr:ext cx="3279320" cy="1570265"/>
    <xdr:sp macro="" textlink="">
      <xdr:nvSpPr>
        <xdr:cNvPr id="2" name="TextBox 1"/>
        <xdr:cNvSpPr txBox="1"/>
      </xdr:nvSpPr>
      <xdr:spPr>
        <a:xfrm>
          <a:off x="0" y="5777591"/>
          <a:ext cx="3279320" cy="1570265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 b="1" i="0" u="none" strike="noStrike" baseline="0" smtClean="0">
              <a:solidFill>
                <a:schemeClr val="tx1"/>
              </a:solidFill>
              <a:latin typeface="+mn-lt"/>
              <a:ea typeface="+mn-ea"/>
              <a:cs typeface="+mn-cs"/>
            </a:rPr>
            <a:t>Reference:</a:t>
          </a:r>
        </a:p>
        <a:p>
          <a:r>
            <a:rPr lang="en-US" sz="1100" b="1" i="0" u="none" strike="noStrike" baseline="0" smtClean="0">
              <a:solidFill>
                <a:schemeClr val="tx1"/>
              </a:solidFill>
              <a:latin typeface="+mn-lt"/>
              <a:ea typeface="+mn-ea"/>
              <a:cs typeface="+mn-cs"/>
            </a:rPr>
            <a:t>American National Standard  for Safe Use of Lasers </a:t>
          </a:r>
          <a:r>
            <a:rPr lang="en-US" sz="11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Z136.1-2007</a:t>
          </a:r>
          <a:endParaRPr lang="en-US" sz="1100" b="1" i="0" u="none" strike="noStrike" baseline="0" smtClean="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en-US" sz="1100" b="1" i="0" u="none" strike="noStrike" baseline="0" smtClean="0">
              <a:solidFill>
                <a:schemeClr val="tx1"/>
              </a:solidFill>
              <a:latin typeface="+mn-lt"/>
              <a:ea typeface="+mn-ea"/>
              <a:cs typeface="+mn-cs"/>
            </a:rPr>
            <a:t>   Appendix B: </a:t>
          </a:r>
          <a:r>
            <a:rPr lang="en-US" sz="1100" b="0" i="1" u="none" strike="noStrike" baseline="0" smtClean="0">
              <a:solidFill>
                <a:schemeClr val="tx1"/>
              </a:solidFill>
              <a:latin typeface="+mn-lt"/>
              <a:ea typeface="+mn-ea"/>
              <a:cs typeface="+mn-cs"/>
            </a:rPr>
            <a:t>Calculations for Hazard Evaluation and Classification</a:t>
          </a:r>
        </a:p>
        <a:p>
          <a:r>
            <a:rPr lang="en-US" sz="1100" b="1" i="0" u="none" strike="noStrike" baseline="0" smtClean="0">
              <a:solidFill>
                <a:schemeClr val="tx1"/>
              </a:solidFill>
              <a:latin typeface="+mn-lt"/>
              <a:ea typeface="+mn-ea"/>
              <a:cs typeface="+mn-cs"/>
            </a:rPr>
            <a:t>      B3. </a:t>
          </a:r>
          <a:r>
            <a:rPr lang="en-US" sz="1100" b="0" i="1" u="none" strike="noStrike" baseline="0" smtClean="0">
              <a:solidFill>
                <a:schemeClr val="tx1"/>
              </a:solidFill>
              <a:latin typeface="+mn-lt"/>
              <a:ea typeface="+mn-ea"/>
              <a:cs typeface="+mn-cs"/>
            </a:rPr>
            <a:t>Examples of MPE Determination</a:t>
          </a:r>
        </a:p>
        <a:p>
          <a:r>
            <a:rPr lang="en-US" sz="1100" b="1" i="0" u="none" strike="noStrike" baseline="0" smtClean="0">
              <a:solidFill>
                <a:schemeClr val="tx1"/>
              </a:solidFill>
              <a:latin typeface="+mn-lt"/>
              <a:ea typeface="+mn-ea"/>
              <a:cs typeface="+mn-cs"/>
            </a:rPr>
            <a:t>            B3.3 </a:t>
          </a:r>
          <a:r>
            <a:rPr lang="en-US" sz="1100" b="0" i="1" u="none" strike="noStrike" baseline="0" smtClean="0">
              <a:solidFill>
                <a:schemeClr val="tx1"/>
              </a:solidFill>
              <a:latin typeface="+mn-lt"/>
              <a:ea typeface="+mn-ea"/>
              <a:cs typeface="+mn-cs"/>
            </a:rPr>
            <a:t>Repetitive-Pulse Laser MPE</a:t>
          </a:r>
          <a:r>
            <a:rPr lang="en-US" sz="1100" b="1" i="0" u="none" strike="noStrike" baseline="0" smtClean="0">
              <a:solidFill>
                <a:schemeClr val="tx1"/>
              </a:solidFill>
              <a:latin typeface="+mn-lt"/>
              <a:ea typeface="+mn-ea"/>
              <a:cs typeface="+mn-cs"/>
            </a:rPr>
            <a:t>.</a:t>
          </a:r>
        </a:p>
        <a:p>
          <a:r>
            <a:rPr lang="en-US" sz="1100" b="1" i="0" u="none" strike="noStrike" baseline="0" smtClean="0">
              <a:solidFill>
                <a:schemeClr val="tx1"/>
              </a:solidFill>
              <a:latin typeface="+mn-lt"/>
              <a:ea typeface="+mn-ea"/>
              <a:cs typeface="+mn-cs"/>
            </a:rPr>
            <a:t>                 Example 11</a:t>
          </a:r>
          <a:endParaRPr lang="uk-UA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19</xdr:row>
      <xdr:rowOff>76199</xdr:rowOff>
    </xdr:from>
    <xdr:ext cx="3238500" cy="1419226"/>
    <xdr:sp macro="" textlink="">
      <xdr:nvSpPr>
        <xdr:cNvPr id="2" name="TextBox 1"/>
        <xdr:cNvSpPr txBox="1"/>
      </xdr:nvSpPr>
      <xdr:spPr>
        <a:xfrm>
          <a:off x="0" y="5505449"/>
          <a:ext cx="3238500" cy="1419226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 b="1" i="0" u="none" strike="noStrike" baseline="0" smtClean="0">
              <a:solidFill>
                <a:schemeClr val="tx1"/>
              </a:solidFill>
              <a:latin typeface="+mn-lt"/>
              <a:ea typeface="+mn-ea"/>
              <a:cs typeface="+mn-cs"/>
            </a:rPr>
            <a:t>Reference:</a:t>
          </a:r>
        </a:p>
        <a:p>
          <a:r>
            <a:rPr lang="en-US" sz="1100" b="1" i="0" u="none" strike="noStrike" baseline="0" smtClean="0">
              <a:solidFill>
                <a:schemeClr val="tx1"/>
              </a:solidFill>
              <a:latin typeface="+mn-lt"/>
              <a:ea typeface="+mn-ea"/>
              <a:cs typeface="+mn-cs"/>
            </a:rPr>
            <a:t>American National Standard  for Safe Use of Lasers </a:t>
          </a:r>
          <a:r>
            <a:rPr lang="en-US" sz="11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Z136.1-2007</a:t>
          </a:r>
          <a:endParaRPr lang="en-US" sz="1100" b="1" i="0" u="none" strike="noStrike" baseline="0" smtClean="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en-US" sz="1100" b="1" i="0" u="none" strike="noStrike" baseline="0" smtClean="0">
              <a:solidFill>
                <a:schemeClr val="tx1"/>
              </a:solidFill>
              <a:latin typeface="+mn-lt"/>
              <a:ea typeface="+mn-ea"/>
              <a:cs typeface="+mn-cs"/>
            </a:rPr>
            <a:t>   Appendix B: </a:t>
          </a:r>
          <a:r>
            <a:rPr lang="en-US" sz="1100" b="0" i="1" u="none" strike="noStrike" baseline="0" smtClean="0">
              <a:solidFill>
                <a:schemeClr val="tx1"/>
              </a:solidFill>
              <a:latin typeface="+mn-lt"/>
              <a:ea typeface="+mn-ea"/>
              <a:cs typeface="+mn-cs"/>
            </a:rPr>
            <a:t>Calculations for Hazard Evaluation and Classification</a:t>
          </a:r>
        </a:p>
        <a:p>
          <a:r>
            <a:rPr lang="en-US" sz="1100" b="1" i="0" u="none" strike="noStrike" baseline="0" smtClean="0">
              <a:solidFill>
                <a:schemeClr val="tx1"/>
              </a:solidFill>
              <a:latin typeface="+mn-lt"/>
              <a:ea typeface="+mn-ea"/>
              <a:cs typeface="+mn-cs"/>
            </a:rPr>
            <a:t>      B3. </a:t>
          </a:r>
          <a:r>
            <a:rPr lang="en-US" sz="1100" b="0" i="1" u="none" strike="noStrike" baseline="0" smtClean="0">
              <a:solidFill>
                <a:schemeClr val="tx1"/>
              </a:solidFill>
              <a:latin typeface="+mn-lt"/>
              <a:ea typeface="+mn-ea"/>
              <a:cs typeface="+mn-cs"/>
            </a:rPr>
            <a:t>Examples of MPE Determination</a:t>
          </a:r>
        </a:p>
        <a:p>
          <a:r>
            <a:rPr lang="en-US" sz="1100" b="1" i="0" u="none" strike="noStrike" baseline="0" smtClean="0">
              <a:solidFill>
                <a:schemeClr val="tx1"/>
              </a:solidFill>
              <a:latin typeface="+mn-lt"/>
              <a:ea typeface="+mn-ea"/>
              <a:cs typeface="+mn-cs"/>
            </a:rPr>
            <a:t>            B3.3 </a:t>
          </a:r>
          <a:r>
            <a:rPr lang="en-US" sz="1100" b="0" i="1" u="none" strike="noStrike" baseline="0" smtClean="0">
              <a:solidFill>
                <a:schemeClr val="tx1"/>
              </a:solidFill>
              <a:latin typeface="+mn-lt"/>
              <a:ea typeface="+mn-ea"/>
              <a:cs typeface="+mn-cs"/>
            </a:rPr>
            <a:t>Repetitive-Pulse Laser MPE</a:t>
          </a:r>
          <a:r>
            <a:rPr lang="en-US" sz="1100" b="1" i="0" u="none" strike="noStrike" baseline="0" smtClean="0">
              <a:solidFill>
                <a:schemeClr val="tx1"/>
              </a:solidFill>
              <a:latin typeface="+mn-lt"/>
              <a:ea typeface="+mn-ea"/>
              <a:cs typeface="+mn-cs"/>
            </a:rPr>
            <a:t>.</a:t>
          </a:r>
          <a:endParaRPr lang="uk-UA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</xdr:row>
          <xdr:rowOff>0</xdr:rowOff>
        </xdr:from>
        <xdr:to>
          <xdr:col>2</xdr:col>
          <xdr:colOff>409575</xdr:colOff>
          <xdr:row>5</xdr:row>
          <xdr:rowOff>114300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.docx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4"/>
  <sheetViews>
    <sheetView topLeftCell="A34" zoomScale="160" zoomScaleNormal="160" workbookViewId="0">
      <selection activeCell="F43" sqref="F43"/>
    </sheetView>
  </sheetViews>
  <sheetFormatPr defaultRowHeight="15" x14ac:dyDescent="0.25"/>
  <sheetData>
    <row r="1" spans="1:29" x14ac:dyDescent="0.25">
      <c r="A1" t="s">
        <v>100</v>
      </c>
    </row>
    <row r="5" spans="1:29" x14ac:dyDescent="0.25">
      <c r="T5" s="88"/>
    </row>
    <row r="9" spans="1:29" ht="15.75" thickBot="1" x14ac:dyDescent="0.3"/>
    <row r="10" spans="1:29" ht="20.25" thickTop="1" thickBot="1" x14ac:dyDescent="0.35">
      <c r="T10" s="213" t="s">
        <v>102</v>
      </c>
      <c r="U10" s="214"/>
      <c r="V10" s="214"/>
      <c r="W10" s="214"/>
      <c r="X10" s="214"/>
      <c r="Y10" s="215"/>
      <c r="Z10" s="216"/>
      <c r="AA10" s="215"/>
    </row>
    <row r="11" spans="1:29" ht="15.75" thickTop="1" x14ac:dyDescent="0.25"/>
    <row r="12" spans="1:29" ht="15.75" thickBot="1" x14ac:dyDescent="0.3"/>
    <row r="13" spans="1:29" ht="24.75" thickTop="1" thickBot="1" x14ac:dyDescent="0.3">
      <c r="T13" s="219" t="s">
        <v>103</v>
      </c>
      <c r="U13" s="220"/>
      <c r="V13" s="220"/>
      <c r="W13" s="220"/>
      <c r="X13" s="220"/>
      <c r="Y13" s="220"/>
      <c r="Z13" s="220"/>
      <c r="AA13" s="221"/>
      <c r="AB13" s="218"/>
      <c r="AC13" s="217"/>
    </row>
    <row r="14" spans="1:29" ht="15.75" thickTop="1" x14ac:dyDescent="0.25"/>
  </sheetData>
  <mergeCells count="1">
    <mergeCell ref="T13:AA1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topLeftCell="A28" zoomScaleNormal="100" workbookViewId="0">
      <selection activeCell="B40" sqref="B40"/>
    </sheetView>
  </sheetViews>
  <sheetFormatPr defaultRowHeight="15" x14ac:dyDescent="0.25"/>
  <cols>
    <col min="1" max="1" width="25.28515625" customWidth="1"/>
    <col min="2" max="2" width="19" style="86" customWidth="1"/>
    <col min="3" max="3" width="21" style="86" customWidth="1"/>
    <col min="4" max="4" width="18.7109375" style="86" customWidth="1"/>
    <col min="5" max="5" width="18.28515625" customWidth="1"/>
    <col min="6" max="6" width="17.42578125" customWidth="1"/>
    <col min="7" max="7" width="17.85546875" customWidth="1"/>
    <col min="8" max="10" width="16.5703125" customWidth="1"/>
    <col min="11" max="11" width="30.5703125" customWidth="1"/>
    <col min="12" max="12" width="25.42578125" customWidth="1"/>
    <col min="13" max="13" width="27.140625" customWidth="1"/>
    <col min="14" max="14" width="20.140625" customWidth="1"/>
    <col min="15" max="15" width="12.5703125" customWidth="1"/>
  </cols>
  <sheetData>
    <row r="1" spans="1:16" ht="21" x14ac:dyDescent="0.35">
      <c r="A1" s="88"/>
      <c r="B1" s="234" t="s">
        <v>31</v>
      </c>
      <c r="C1" s="235"/>
      <c r="D1" s="235"/>
      <c r="E1" s="236"/>
    </row>
    <row r="2" spans="1:16" s="85" customFormat="1" ht="45.75" thickBot="1" x14ac:dyDescent="0.3">
      <c r="A2" s="87"/>
      <c r="B2" s="89" t="s">
        <v>39</v>
      </c>
      <c r="C2" s="89" t="s">
        <v>35</v>
      </c>
      <c r="D2" s="89" t="s">
        <v>37</v>
      </c>
      <c r="E2" s="89" t="s">
        <v>45</v>
      </c>
      <c r="N2" s="102"/>
    </row>
    <row r="3" spans="1:16" s="85" customFormat="1" ht="22.5" customHeight="1" thickTop="1" thickBot="1" x14ac:dyDescent="0.3">
      <c r="A3" s="95" t="s">
        <v>41</v>
      </c>
      <c r="B3" s="94" t="s">
        <v>40</v>
      </c>
      <c r="C3" s="94" t="s">
        <v>36</v>
      </c>
      <c r="D3" s="94" t="s">
        <v>38</v>
      </c>
      <c r="E3" s="94" t="s">
        <v>34</v>
      </c>
      <c r="H3" s="226" t="s">
        <v>72</v>
      </c>
      <c r="I3" s="227"/>
      <c r="J3" s="227"/>
      <c r="K3" s="227"/>
      <c r="L3" s="228"/>
      <c r="N3" s="113" t="s">
        <v>51</v>
      </c>
      <c r="O3" s="103"/>
    </row>
    <row r="4" spans="1:16" ht="22.5" customHeight="1" thickTop="1" thickBot="1" x14ac:dyDescent="0.35">
      <c r="A4" s="90" t="s">
        <v>32</v>
      </c>
      <c r="B4" s="98">
        <v>0.90400000000000003</v>
      </c>
      <c r="C4" s="128">
        <v>0.01</v>
      </c>
      <c r="D4" s="98">
        <v>1000</v>
      </c>
      <c r="E4" s="100">
        <v>1.9999999999999999E-7</v>
      </c>
      <c r="F4" s="129"/>
      <c r="H4" s="180" t="s">
        <v>62</v>
      </c>
      <c r="I4" s="182" t="s">
        <v>71</v>
      </c>
      <c r="J4" s="182"/>
      <c r="K4" s="182"/>
      <c r="L4" s="183"/>
      <c r="N4" s="107" t="s">
        <v>56</v>
      </c>
      <c r="O4" s="109">
        <v>1000</v>
      </c>
      <c r="P4" s="108" t="s">
        <v>53</v>
      </c>
    </row>
    <row r="5" spans="1:16" ht="22.5" customHeight="1" thickTop="1" thickBot="1" x14ac:dyDescent="0.3">
      <c r="H5" s="181">
        <f>alpha_a</f>
        <v>0.01</v>
      </c>
      <c r="I5" s="184" t="str">
        <f>IF(AND($B$4&gt;=0.7,$B$4&lt;=1.05),"OK","Vawelength Out of range!")</f>
        <v>OK</v>
      </c>
      <c r="J5" s="185"/>
      <c r="K5" s="185"/>
      <c r="L5" s="186"/>
      <c r="N5" s="106" t="s">
        <v>52</v>
      </c>
      <c r="O5" s="110">
        <v>1E-4</v>
      </c>
      <c r="P5" s="104" t="s">
        <v>54</v>
      </c>
    </row>
    <row r="6" spans="1:16" ht="47.25" customHeight="1" thickTop="1" thickBot="1" x14ac:dyDescent="0.35">
      <c r="A6" s="96" t="s">
        <v>42</v>
      </c>
      <c r="B6" s="237" t="s">
        <v>83</v>
      </c>
      <c r="C6" s="238"/>
      <c r="D6" s="178">
        <f>'"a" Single pulse  '!$J$20</f>
        <v>1.279292943452822E-6</v>
      </c>
      <c r="E6" s="179" t="str">
        <f>'"a" Single pulse  '!$K$20</f>
        <v xml:space="preserve">  J/cm2</v>
      </c>
      <c r="I6" s="101"/>
      <c r="N6" s="112" t="s">
        <v>57</v>
      </c>
      <c r="O6" s="111">
        <f>O5/O4</f>
        <v>1.0000000000000001E-7</v>
      </c>
      <c r="P6" s="105" t="s">
        <v>55</v>
      </c>
    </row>
    <row r="7" spans="1:16" ht="15.75" thickTop="1" x14ac:dyDescent="0.25"/>
    <row r="9" spans="1:16" ht="21" x14ac:dyDescent="0.35">
      <c r="B9" s="229" t="s">
        <v>49</v>
      </c>
      <c r="C9" s="230"/>
      <c r="D9" s="230"/>
      <c r="E9" s="230"/>
      <c r="F9" s="230"/>
      <c r="G9" s="230"/>
    </row>
    <row r="10" spans="1:16" s="91" customFormat="1" ht="45.75" thickBot="1" x14ac:dyDescent="0.3">
      <c r="B10" s="89" t="s">
        <v>39</v>
      </c>
      <c r="C10" s="89" t="s">
        <v>35</v>
      </c>
      <c r="D10" s="89" t="s">
        <v>37</v>
      </c>
      <c r="E10" s="89" t="s">
        <v>45</v>
      </c>
      <c r="F10" s="89" t="s">
        <v>43</v>
      </c>
      <c r="G10" s="89" t="s">
        <v>44</v>
      </c>
    </row>
    <row r="11" spans="1:16" ht="22.5" customHeight="1" thickBot="1" x14ac:dyDescent="0.3">
      <c r="A11" s="95" t="s">
        <v>41</v>
      </c>
      <c r="B11" s="94" t="s">
        <v>40</v>
      </c>
      <c r="C11" s="94" t="s">
        <v>36</v>
      </c>
      <c r="D11" s="94" t="s">
        <v>38</v>
      </c>
      <c r="E11" s="94" t="s">
        <v>34</v>
      </c>
      <c r="F11" s="94" t="s">
        <v>34</v>
      </c>
      <c r="G11" s="94" t="s">
        <v>34</v>
      </c>
      <c r="I11" s="226" t="s">
        <v>72</v>
      </c>
      <c r="J11" s="227"/>
      <c r="K11" s="227"/>
      <c r="L11" s="227"/>
      <c r="M11" s="228"/>
    </row>
    <row r="12" spans="1:16" ht="22.5" customHeight="1" thickTop="1" thickBot="1" x14ac:dyDescent="0.35">
      <c r="A12" s="97" t="s">
        <v>32</v>
      </c>
      <c r="B12" s="98">
        <v>0.90400000000000003</v>
      </c>
      <c r="C12" s="128">
        <v>0.01</v>
      </c>
      <c r="D12" s="98">
        <v>100</v>
      </c>
      <c r="E12" s="100">
        <v>1.9999999999999999E-7</v>
      </c>
      <c r="F12" s="100">
        <v>1E-3</v>
      </c>
      <c r="G12" s="98">
        <v>10</v>
      </c>
      <c r="I12" s="180" t="s">
        <v>62</v>
      </c>
      <c r="J12" s="182" t="s">
        <v>71</v>
      </c>
      <c r="K12" s="182"/>
      <c r="L12" s="182"/>
      <c r="M12" s="183"/>
    </row>
    <row r="13" spans="1:16" ht="22.5" customHeight="1" thickTop="1" thickBot="1" x14ac:dyDescent="0.3">
      <c r="I13" s="181">
        <f>alpha_b</f>
        <v>0.1</v>
      </c>
      <c r="J13" s="184" t="str">
        <f>IF(AND($B$12&gt;=0.7,$B$12&lt;=1.05),"OK","Vawelength Out of range!")</f>
        <v>OK</v>
      </c>
      <c r="K13" s="185"/>
      <c r="L13" s="185"/>
      <c r="M13" s="186"/>
    </row>
    <row r="14" spans="1:16" ht="22.5" customHeight="1" thickTop="1" thickBot="1" x14ac:dyDescent="0.35">
      <c r="A14" s="96" t="s">
        <v>42</v>
      </c>
      <c r="B14" s="231" t="s">
        <v>33</v>
      </c>
      <c r="C14" s="232"/>
      <c r="D14" s="232"/>
      <c r="E14" s="233"/>
    </row>
    <row r="15" spans="1:16" ht="22.5" customHeight="1" thickTop="1" thickBot="1" x14ac:dyDescent="0.35">
      <c r="B15" s="222" t="s">
        <v>84</v>
      </c>
      <c r="C15" s="223"/>
      <c r="D15" s="92">
        <f>'"b" Repetitive pulse '!J21</f>
        <v>1.279292943452822E-6</v>
      </c>
      <c r="E15" s="93" t="str">
        <f>'"b" Repetitive pulse '!K21</f>
        <v xml:space="preserve">  J/cm2</v>
      </c>
    </row>
    <row r="16" spans="1:16" ht="22.5" customHeight="1" thickTop="1" thickBot="1" x14ac:dyDescent="0.35">
      <c r="B16" s="222" t="s">
        <v>85</v>
      </c>
      <c r="C16" s="223"/>
      <c r="D16" s="92">
        <f>'"b" Repetitive pulse '!J24</f>
        <v>2.5903554083486953E-6</v>
      </c>
      <c r="E16" s="93" t="str">
        <f>'"b" Repetitive pulse '!K24</f>
        <v xml:space="preserve">  J/cm2</v>
      </c>
    </row>
    <row r="17" spans="1:13" ht="22.5" customHeight="1" thickTop="1" thickBot="1" x14ac:dyDescent="0.35">
      <c r="B17" s="222" t="s">
        <v>86</v>
      </c>
      <c r="C17" s="223"/>
      <c r="D17" s="92">
        <f>'"b" Repetitive pulse '!J27</f>
        <v>1.2793569033032059E-7</v>
      </c>
      <c r="E17" s="93" t="str">
        <f>'"b" Repetitive pulse '!K27</f>
        <v xml:space="preserve">  J/cm2</v>
      </c>
    </row>
    <row r="18" spans="1:13" ht="35.25" customHeight="1" thickTop="1" thickBot="1" x14ac:dyDescent="0.3">
      <c r="B18" s="224" t="s">
        <v>76</v>
      </c>
      <c r="C18" s="225"/>
      <c r="D18" s="174">
        <f>'"b" Repetitive pulse '!J30</f>
        <v>1.2791010830865885E-3</v>
      </c>
      <c r="E18" s="175" t="str">
        <f>'"b" Repetitive pulse '!K30</f>
        <v xml:space="preserve">  J/cm2</v>
      </c>
    </row>
    <row r="19" spans="1:13" ht="15.75" thickTop="1" x14ac:dyDescent="0.25"/>
    <row r="22" spans="1:13" ht="21" x14ac:dyDescent="0.35">
      <c r="B22" s="229" t="s">
        <v>50</v>
      </c>
      <c r="C22" s="230"/>
      <c r="D22" s="230"/>
      <c r="E22" s="230"/>
      <c r="F22" s="230"/>
      <c r="G22" s="230"/>
      <c r="H22" s="230"/>
      <c r="I22" s="230"/>
      <c r="J22" s="190"/>
      <c r="K22" s="190"/>
    </row>
    <row r="23" spans="1:13" ht="47.25" customHeight="1" x14ac:dyDescent="0.25">
      <c r="A23" s="91"/>
      <c r="B23" s="89" t="s">
        <v>39</v>
      </c>
      <c r="C23" s="89" t="s">
        <v>35</v>
      </c>
      <c r="D23" s="89" t="s">
        <v>37</v>
      </c>
      <c r="E23" s="89" t="s">
        <v>45</v>
      </c>
      <c r="F23" s="89" t="s">
        <v>46</v>
      </c>
      <c r="G23" s="89" t="s">
        <v>47</v>
      </c>
      <c r="H23" s="89" t="s">
        <v>48</v>
      </c>
      <c r="I23" s="188" t="s">
        <v>44</v>
      </c>
      <c r="J23" s="191"/>
      <c r="K23" s="191"/>
    </row>
    <row r="24" spans="1:13" ht="15.75" thickBot="1" x14ac:dyDescent="0.3">
      <c r="A24" s="95" t="s">
        <v>41</v>
      </c>
      <c r="B24" s="94" t="s">
        <v>40</v>
      </c>
      <c r="C24" s="94" t="s">
        <v>36</v>
      </c>
      <c r="D24" s="94" t="s">
        <v>38</v>
      </c>
      <c r="E24" s="94" t="s">
        <v>34</v>
      </c>
      <c r="F24" s="94" t="s">
        <v>34</v>
      </c>
      <c r="G24" s="94" t="s">
        <v>34</v>
      </c>
      <c r="H24" s="94" t="s">
        <v>34</v>
      </c>
      <c r="I24" s="189" t="s">
        <v>34</v>
      </c>
      <c r="J24" s="192"/>
      <c r="K24" s="192"/>
    </row>
    <row r="25" spans="1:13" ht="22.5" customHeight="1" thickTop="1" thickBot="1" x14ac:dyDescent="0.35">
      <c r="A25" s="97" t="s">
        <v>32</v>
      </c>
      <c r="B25" s="98">
        <v>0.90400000000000003</v>
      </c>
      <c r="C25" s="128">
        <v>0.01</v>
      </c>
      <c r="D25" s="98">
        <v>100</v>
      </c>
      <c r="E25" s="100">
        <v>1.9999999999999999E-7</v>
      </c>
      <c r="F25" s="100">
        <v>1E-3</v>
      </c>
      <c r="G25" s="98">
        <v>10</v>
      </c>
      <c r="H25" s="98">
        <v>3</v>
      </c>
      <c r="I25" s="98">
        <v>100</v>
      </c>
      <c r="J25" s="193"/>
      <c r="K25" s="194"/>
    </row>
    <row r="26" spans="1:13" ht="16.5" thickTop="1" thickBot="1" x14ac:dyDescent="0.3"/>
    <row r="27" spans="1:13" ht="20.25" thickTop="1" thickBot="1" x14ac:dyDescent="0.35">
      <c r="A27" s="96" t="s">
        <v>42</v>
      </c>
      <c r="B27" s="231" t="s">
        <v>33</v>
      </c>
      <c r="C27" s="232"/>
      <c r="D27" s="232"/>
      <c r="E27" s="233"/>
    </row>
    <row r="28" spans="1:13" ht="20.25" thickTop="1" thickBot="1" x14ac:dyDescent="0.35">
      <c r="B28" s="222" t="s">
        <v>59</v>
      </c>
      <c r="C28" s="223"/>
      <c r="D28" s="92">
        <f>'"c" Train sequence '!J24</f>
        <v>1.279292943452822E-6</v>
      </c>
      <c r="E28" s="93" t="str">
        <f>'"c" Train sequence '!K24</f>
        <v xml:space="preserve">  J/cm2</v>
      </c>
      <c r="I28" s="226" t="s">
        <v>72</v>
      </c>
      <c r="J28" s="227"/>
      <c r="K28" s="227"/>
      <c r="L28" s="227"/>
      <c r="M28" s="228"/>
    </row>
    <row r="29" spans="1:13" ht="20.25" thickTop="1" thickBot="1" x14ac:dyDescent="0.35">
      <c r="B29" s="222" t="s">
        <v>81</v>
      </c>
      <c r="C29" s="223"/>
      <c r="D29" s="92">
        <f>'"c" Train sequence '!J27</f>
        <v>2.5903554083486953E-6</v>
      </c>
      <c r="E29" s="93" t="str">
        <f>'"c" Train sequence '!K27</f>
        <v xml:space="preserve">  J/cm2</v>
      </c>
      <c r="I29" s="180" t="s">
        <v>62</v>
      </c>
      <c r="J29" s="182" t="s">
        <v>71</v>
      </c>
      <c r="K29" s="182" t="s">
        <v>87</v>
      </c>
      <c r="L29" s="182" t="s">
        <v>88</v>
      </c>
      <c r="M29" s="182" t="s">
        <v>88</v>
      </c>
    </row>
    <row r="30" spans="1:13" ht="20.25" thickTop="1" thickBot="1" x14ac:dyDescent="0.35">
      <c r="B30" s="222" t="s">
        <v>82</v>
      </c>
      <c r="C30" s="223"/>
      <c r="D30" s="92">
        <f>'"c" Train sequence '!J30</f>
        <v>7.6820575254971929E-8</v>
      </c>
      <c r="E30" s="93" t="str">
        <f>'"c" Train sequence '!K30</f>
        <v xml:space="preserve">  J/cm2</v>
      </c>
      <c r="I30" s="181">
        <f>alpha_c</f>
        <v>0.1</v>
      </c>
      <c r="J30" s="184" t="str">
        <f>IF(AND($B$12&gt;=0.7,$B$12&lt;=1.05),"OK","Vawelength Out of range!")</f>
        <v>OK</v>
      </c>
      <c r="K30" s="187">
        <f>G25/(E25+F25)</f>
        <v>9998.0003999200162</v>
      </c>
      <c r="L30" s="185">
        <f>I25/(G25+H25)</f>
        <v>7.6923076923076925</v>
      </c>
      <c r="M30" s="209">
        <f>L30*K30</f>
        <v>76907.695384000122</v>
      </c>
    </row>
    <row r="31" spans="1:13" ht="20.25" thickTop="1" thickBot="1" x14ac:dyDescent="0.35">
      <c r="B31" s="222" t="s">
        <v>94</v>
      </c>
      <c r="C31" s="223"/>
      <c r="D31" s="92">
        <f>'"c" Train sequence '!J33</f>
        <v>3.3667886731186797E-4</v>
      </c>
      <c r="E31" s="93" t="str">
        <f>'"c" Train sequence '!K33</f>
        <v xml:space="preserve">  J/cm2</v>
      </c>
      <c r="I31" s="207"/>
      <c r="J31" s="207"/>
      <c r="K31" s="208"/>
      <c r="L31" s="207"/>
      <c r="M31" s="207"/>
    </row>
    <row r="32" spans="1:13" ht="20.25" thickTop="1" thickBot="1" x14ac:dyDescent="0.35">
      <c r="B32" s="222" t="s">
        <v>95</v>
      </c>
      <c r="C32" s="223"/>
      <c r="D32" s="92">
        <f>'"c" Train sequence '!J36</f>
        <v>1.2793569033032059E-7</v>
      </c>
      <c r="E32" s="93" t="str">
        <f>'"c" Train sequence '!K36</f>
        <v xml:space="preserve">  J/cm2</v>
      </c>
      <c r="I32" s="207"/>
      <c r="J32" s="207"/>
      <c r="K32" s="208"/>
      <c r="L32" s="207"/>
      <c r="M32" s="207"/>
    </row>
    <row r="33" spans="2:5" ht="24.75" thickTop="1" thickBot="1" x14ac:dyDescent="0.3">
      <c r="B33" s="224" t="s">
        <v>76</v>
      </c>
      <c r="C33" s="225"/>
      <c r="D33" s="174">
        <f>'"c" Train sequence '!J39</f>
        <v>5.9080934009330391E-3</v>
      </c>
      <c r="E33" s="175" t="str">
        <f>'"c" Train sequence '!K39</f>
        <v xml:space="preserve">  J/cm2</v>
      </c>
    </row>
    <row r="34" spans="2:5" ht="15.75" thickTop="1" x14ac:dyDescent="0.25"/>
  </sheetData>
  <mergeCells count="19">
    <mergeCell ref="H3:L3"/>
    <mergeCell ref="B1:E1"/>
    <mergeCell ref="B6:C6"/>
    <mergeCell ref="B9:G9"/>
    <mergeCell ref="B15:C15"/>
    <mergeCell ref="B14:E14"/>
    <mergeCell ref="B28:C28"/>
    <mergeCell ref="B29:C29"/>
    <mergeCell ref="B30:C30"/>
    <mergeCell ref="B33:C33"/>
    <mergeCell ref="I11:M11"/>
    <mergeCell ref="I28:M28"/>
    <mergeCell ref="B22:I22"/>
    <mergeCell ref="B31:C31"/>
    <mergeCell ref="B32:C32"/>
    <mergeCell ref="B16:C16"/>
    <mergeCell ref="B17:C17"/>
    <mergeCell ref="B18:C18"/>
    <mergeCell ref="B27:E2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zoomScale="85" zoomScaleNormal="85" workbookViewId="0">
      <selection activeCell="J20" sqref="J20"/>
    </sheetView>
  </sheetViews>
  <sheetFormatPr defaultRowHeight="15" x14ac:dyDescent="0.25"/>
  <cols>
    <col min="1" max="22" width="14.28515625" style="2" customWidth="1"/>
    <col min="23" max="16384" width="9.140625" style="2"/>
  </cols>
  <sheetData>
    <row r="1" spans="1:21" ht="22.5" customHeight="1" x14ac:dyDescent="0.25"/>
    <row r="2" spans="1:21" ht="22.5" customHeight="1" x14ac:dyDescent="0.25">
      <c r="A2" s="125" t="s">
        <v>67</v>
      </c>
      <c r="B2" s="125" t="s">
        <v>68</v>
      </c>
      <c r="C2" s="125" t="s">
        <v>73</v>
      </c>
    </row>
    <row r="3" spans="1:21" ht="22.5" customHeight="1" thickBot="1" x14ac:dyDescent="0.3">
      <c r="A3" s="125" t="s">
        <v>40</v>
      </c>
      <c r="B3" s="125" t="s">
        <v>69</v>
      </c>
      <c r="C3" s="125" t="s">
        <v>34</v>
      </c>
    </row>
    <row r="4" spans="1:21" ht="22.5" customHeight="1" thickTop="1" thickBot="1" x14ac:dyDescent="0.35">
      <c r="A4" s="98">
        <f>Main!B4</f>
        <v>0.90400000000000003</v>
      </c>
      <c r="B4" s="128">
        <f>Main!C4/Main!D4*1000</f>
        <v>0.01</v>
      </c>
      <c r="C4" s="128">
        <f>Main!E4</f>
        <v>1.9999999999999999E-7</v>
      </c>
      <c r="D4" s="100"/>
    </row>
    <row r="5" spans="1:21" ht="22.5" customHeight="1" thickTop="1" thickBot="1" x14ac:dyDescent="0.3">
      <c r="A5" s="65"/>
      <c r="B5" s="65"/>
      <c r="C5" s="71"/>
    </row>
    <row r="6" spans="1:21" ht="22.5" customHeight="1" thickTop="1" thickBot="1" x14ac:dyDescent="0.3">
      <c r="A6" s="23"/>
      <c r="B6" s="23"/>
      <c r="C6" s="64"/>
      <c r="J6" s="74"/>
      <c r="K6" s="75"/>
      <c r="L6" s="75"/>
      <c r="M6" s="75"/>
      <c r="N6" s="75"/>
      <c r="O6" s="75"/>
      <c r="P6" s="75"/>
      <c r="Q6" s="75"/>
      <c r="R6" s="75"/>
      <c r="S6" s="75"/>
      <c r="T6" s="75"/>
      <c r="U6" s="76"/>
    </row>
    <row r="7" spans="1:21" ht="22.5" customHeight="1" thickBot="1" x14ac:dyDescent="0.3">
      <c r="J7" s="77"/>
      <c r="K7" s="241" t="s">
        <v>21</v>
      </c>
      <c r="L7" s="242"/>
      <c r="M7" s="239" t="s">
        <v>24</v>
      </c>
      <c r="N7" s="240"/>
      <c r="O7" s="243" t="s">
        <v>25</v>
      </c>
      <c r="P7" s="244"/>
      <c r="Q7" s="244"/>
      <c r="R7" s="244"/>
      <c r="S7" s="244"/>
      <c r="T7" s="245"/>
      <c r="U7" s="78"/>
    </row>
    <row r="8" spans="1:21" ht="22.5" customHeight="1" thickTop="1" thickBot="1" x14ac:dyDescent="0.3">
      <c r="A8" s="3" t="s">
        <v>0</v>
      </c>
      <c r="B8" s="4" t="s">
        <v>1</v>
      </c>
      <c r="C8" s="5" t="s">
        <v>2</v>
      </c>
      <c r="D8" s="6" t="s">
        <v>3</v>
      </c>
      <c r="E8" s="7" t="s">
        <v>4</v>
      </c>
      <c r="F8" s="17" t="s">
        <v>10</v>
      </c>
      <c r="G8" s="18" t="s">
        <v>11</v>
      </c>
      <c r="H8" s="19" t="s">
        <v>12</v>
      </c>
      <c r="J8" s="77"/>
      <c r="K8" s="55" t="s">
        <v>22</v>
      </c>
      <c r="L8" s="56" t="s">
        <v>23</v>
      </c>
      <c r="M8" s="57" t="s">
        <v>19</v>
      </c>
      <c r="N8" s="56" t="s">
        <v>20</v>
      </c>
      <c r="O8" s="58" t="s">
        <v>1</v>
      </c>
      <c r="P8" s="59" t="s">
        <v>2</v>
      </c>
      <c r="Q8" s="60" t="s">
        <v>3</v>
      </c>
      <c r="R8" s="61" t="s">
        <v>4</v>
      </c>
      <c r="S8" s="62" t="s">
        <v>26</v>
      </c>
      <c r="T8" s="63" t="s">
        <v>27</v>
      </c>
      <c r="U8" s="78"/>
    </row>
    <row r="9" spans="1:21" ht="22.5" customHeight="1" thickBot="1" x14ac:dyDescent="0.3">
      <c r="A9" s="8" t="s">
        <v>5</v>
      </c>
      <c r="B9" s="9">
        <v>1</v>
      </c>
      <c r="C9" s="10">
        <v>0</v>
      </c>
      <c r="D9" s="11">
        <v>0</v>
      </c>
      <c r="E9" s="12">
        <v>-8</v>
      </c>
      <c r="F9" s="1" t="s">
        <v>13</v>
      </c>
      <c r="G9" s="20">
        <v>1</v>
      </c>
      <c r="H9" s="21">
        <v>10</v>
      </c>
      <c r="J9" s="77"/>
      <c r="K9" s="45">
        <v>0</v>
      </c>
      <c r="L9" s="46">
        <v>1.5</v>
      </c>
      <c r="M9" s="47">
        <v>1E-13</v>
      </c>
      <c r="N9" s="48">
        <v>9.9999999999999994E-12</v>
      </c>
      <c r="O9" s="49">
        <v>1</v>
      </c>
      <c r="P9" s="50">
        <v>0</v>
      </c>
      <c r="Q9" s="51">
        <v>0</v>
      </c>
      <c r="R9" s="52">
        <v>-8</v>
      </c>
      <c r="S9" s="53">
        <v>1</v>
      </c>
      <c r="T9" s="54">
        <v>10</v>
      </c>
      <c r="U9" s="78"/>
    </row>
    <row r="10" spans="1:21" ht="22.5" customHeight="1" thickBot="1" x14ac:dyDescent="0.3">
      <c r="A10" s="8" t="s">
        <v>6</v>
      </c>
      <c r="B10" s="9">
        <v>1.5</v>
      </c>
      <c r="C10" s="10">
        <v>0.75</v>
      </c>
      <c r="D10" s="11">
        <v>0</v>
      </c>
      <c r="E10" s="12">
        <v>0</v>
      </c>
      <c r="F10" s="1" t="s">
        <v>14</v>
      </c>
      <c r="G10" s="20" t="s">
        <v>15</v>
      </c>
      <c r="H10" s="21" t="s">
        <v>16</v>
      </c>
      <c r="J10" s="77"/>
      <c r="K10" s="26">
        <v>1.5</v>
      </c>
      <c r="L10" s="39">
        <v>100</v>
      </c>
      <c r="M10" s="37">
        <v>9.9999999999999994E-12</v>
      </c>
      <c r="N10" s="43">
        <v>1.0000000000000001E-9</v>
      </c>
      <c r="O10" s="41">
        <v>1.5</v>
      </c>
      <c r="P10" s="31">
        <v>0.75</v>
      </c>
      <c r="Q10" s="32">
        <v>0</v>
      </c>
      <c r="R10" s="33">
        <v>0</v>
      </c>
      <c r="S10" s="25">
        <f>alpha_a/1.5</f>
        <v>6.6666666666666671E-3</v>
      </c>
      <c r="T10" s="27">
        <f>10^(1+(alpha_a-1.5)/98.5)</f>
        <v>9.6576863414326244</v>
      </c>
      <c r="U10" s="78"/>
    </row>
    <row r="11" spans="1:21" ht="22.5" customHeight="1" thickBot="1" x14ac:dyDescent="0.3">
      <c r="A11" s="8" t="s">
        <v>7</v>
      </c>
      <c r="B11" s="9">
        <v>5</v>
      </c>
      <c r="C11" s="10">
        <v>0</v>
      </c>
      <c r="D11" s="11">
        <v>0</v>
      </c>
      <c r="E11" s="12">
        <v>-7</v>
      </c>
      <c r="F11" s="1" t="s">
        <v>17</v>
      </c>
      <c r="G11" s="20" t="s">
        <v>18</v>
      </c>
      <c r="H11" s="21">
        <v>100</v>
      </c>
      <c r="J11" s="77"/>
      <c r="K11" s="26">
        <v>100</v>
      </c>
      <c r="L11" s="39">
        <v>3141</v>
      </c>
      <c r="M11" s="37">
        <v>1.0000000000000001E-9</v>
      </c>
      <c r="N11" s="43">
        <v>1.8E-5</v>
      </c>
      <c r="O11" s="41">
        <v>5</v>
      </c>
      <c r="P11" s="31">
        <v>0</v>
      </c>
      <c r="Q11" s="32">
        <v>0</v>
      </c>
      <c r="R11" s="33">
        <v>-7</v>
      </c>
      <c r="S11" s="25">
        <f>(alpha_a^2)/150</f>
        <v>6.6666666666666671E-7</v>
      </c>
      <c r="T11" s="27">
        <v>100</v>
      </c>
      <c r="U11" s="78"/>
    </row>
    <row r="12" spans="1:21" ht="22.5" customHeight="1" thickBot="1" x14ac:dyDescent="0.3">
      <c r="A12" s="8" t="s">
        <v>8</v>
      </c>
      <c r="B12" s="9">
        <v>1.8</v>
      </c>
      <c r="C12" s="10">
        <v>0.75</v>
      </c>
      <c r="D12" s="11">
        <v>0</v>
      </c>
      <c r="E12" s="12">
        <v>-3</v>
      </c>
      <c r="J12" s="77"/>
      <c r="K12" s="26"/>
      <c r="L12" s="39"/>
      <c r="M12" s="37">
        <v>1.8E-5</v>
      </c>
      <c r="N12" s="43">
        <f>Q17</f>
        <v>10</v>
      </c>
      <c r="O12" s="41">
        <v>1.8</v>
      </c>
      <c r="P12" s="31">
        <v>0.75</v>
      </c>
      <c r="Q12" s="32">
        <v>0</v>
      </c>
      <c r="R12" s="33">
        <v>-3</v>
      </c>
      <c r="S12" s="22"/>
      <c r="T12" s="34"/>
      <c r="U12" s="78"/>
    </row>
    <row r="13" spans="1:21" ht="22.5" customHeight="1" thickBot="1" x14ac:dyDescent="0.3">
      <c r="A13" s="13" t="s">
        <v>9</v>
      </c>
      <c r="B13" s="9">
        <v>1.8</v>
      </c>
      <c r="C13" s="10">
        <v>0</v>
      </c>
      <c r="D13" s="11">
        <v>-0.25</v>
      </c>
      <c r="E13" s="12">
        <v>-3</v>
      </c>
      <c r="J13" s="77"/>
      <c r="K13" s="26"/>
      <c r="L13" s="39"/>
      <c r="M13" s="37">
        <f>Q17</f>
        <v>10</v>
      </c>
      <c r="N13" s="43">
        <v>30000</v>
      </c>
      <c r="O13" s="41">
        <v>1.8</v>
      </c>
      <c r="P13" s="31">
        <v>0</v>
      </c>
      <c r="Q13" s="32">
        <v>-0.25</v>
      </c>
      <c r="R13" s="33">
        <v>-3</v>
      </c>
      <c r="S13" s="22"/>
      <c r="T13" s="34"/>
      <c r="U13" s="78"/>
    </row>
    <row r="14" spans="1:21" ht="22.5" customHeight="1" thickBot="1" x14ac:dyDescent="0.3">
      <c r="A14" s="14"/>
      <c r="B14" s="15"/>
      <c r="C14" s="15"/>
      <c r="D14" s="15"/>
      <c r="E14" s="15"/>
      <c r="J14" s="77"/>
      <c r="K14" s="28"/>
      <c r="L14" s="40"/>
      <c r="M14" s="38"/>
      <c r="N14" s="44"/>
      <c r="O14" s="42"/>
      <c r="P14" s="35"/>
      <c r="Q14" s="35"/>
      <c r="R14" s="35"/>
      <c r="S14" s="29"/>
      <c r="T14" s="36"/>
      <c r="U14" s="78"/>
    </row>
    <row r="15" spans="1:21" ht="22.5" customHeight="1" x14ac:dyDescent="0.25">
      <c r="B15" s="16"/>
      <c r="J15" s="77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78"/>
    </row>
    <row r="16" spans="1:21" ht="22.5" customHeight="1" x14ac:dyDescent="0.35">
      <c r="A16" s="248" t="s">
        <v>58</v>
      </c>
      <c r="B16" s="249"/>
      <c r="C16" s="249"/>
      <c r="D16" s="249"/>
      <c r="E16" s="249"/>
      <c r="F16" s="250"/>
      <c r="G16" s="115"/>
      <c r="H16" s="24"/>
      <c r="J16" s="77"/>
      <c r="K16" s="30"/>
      <c r="L16" s="30" t="s">
        <v>1</v>
      </c>
      <c r="M16" s="30" t="s">
        <v>2</v>
      </c>
      <c r="N16" s="30" t="s">
        <v>3</v>
      </c>
      <c r="O16" s="30" t="s">
        <v>4</v>
      </c>
      <c r="P16" s="30" t="s">
        <v>29</v>
      </c>
      <c r="Q16" s="30" t="s">
        <v>70</v>
      </c>
      <c r="R16" s="30"/>
      <c r="S16" s="30"/>
      <c r="T16" s="30"/>
      <c r="U16" s="78"/>
    </row>
    <row r="17" spans="1:21" ht="22.5" customHeight="1" x14ac:dyDescent="0.25">
      <c r="A17" s="24"/>
      <c r="B17" s="24"/>
      <c r="C17" s="24"/>
      <c r="D17" s="24"/>
      <c r="E17" s="24"/>
      <c r="F17" s="24"/>
      <c r="G17" s="24"/>
      <c r="H17" s="24"/>
      <c r="J17" s="77"/>
      <c r="K17" s="30"/>
      <c r="L17" s="30">
        <f>IF(AND(tsp_a&gt;=$M$9,tsp_a&lt;$N$9),$O$9,IF(AND(tsp_a&gt;=$M$10,tsp_a&lt;$N$10),$O$10,IF(AND(tsp_a&gt;=$M$11,tsp_a&lt;$N$11),$O$11,IF(AND(tsp_a&gt;=$M$12,tsp_a&lt;$N$12),$O$12,IF(AND(tsp_a&gt;=$M$13,tsp_a&lt;$N$13),$O$13,"t out of range10^-13 - 3*10^4sec")))))</f>
        <v>5</v>
      </c>
      <c r="M17" s="30">
        <f>IF(AND(tsp_a&gt;=$M$9,tsp_a&lt;$N$9),$P$9,IF(AND(tsp_a&gt;=$M$10,tsp_a&lt;$N$10),$P$10,IF(AND(tsp_a&gt;=$M$11,tsp_a&lt;$N$11),$P$11,IF(AND(tsp_a&gt;=$M$12,tsp_a&lt;$N$12),$P$12,IF(AND(tsp_a&gt;=$M$13,tsp_a&lt;$N$13),$P$13,"t out of range10^-13 - 3*10^4sec")))))</f>
        <v>0</v>
      </c>
      <c r="N17" s="30">
        <f>IF(AND(tsp_a&gt;=$M$9,tsp_a&lt;$N$9),$Q$9,IF(AND(tsp_a&gt;=$M$10,tsp_a&lt;$N$10),$Q$10,IF(AND(tsp_a&gt;=$M$11,tsp_a&lt;$N$11),$Q$11,IF(AND(tsp_a&gt;=$M$12,tsp_a&lt;$N$12),$Q$12,IF(AND(tsp_a&gt;=$M$13,tsp_a&lt;$N$13),$Q$13,"t out of range10^-13 - 3*10^4sec")))))</f>
        <v>0</v>
      </c>
      <c r="O17" s="30">
        <f>IF(AND(tsp_a&gt;=$M$9,tsp_a&lt;$N$9),$R$9,IF(AND(tsp_a&gt;=$M$10,tsp_a&lt;$N$10),$R$10,IF(AND(tsp_a&gt;=$M$11,tsp_a&lt;$N$11),$R$11,IF(AND(tsp_a&gt;=$M$12,tsp_a&lt;$N$12),$R$12,IF(AND(tsp_a&gt;=$M$13,tsp_a&lt;$N$13),$R$13,"t out of range10^-13 - 3*10^4sec")))))</f>
        <v>-7</v>
      </c>
      <c r="P17" s="30">
        <f>IF(AND(alpha_a&gt;=$K$9,alpha_a&lt;$L$9),$S$9,IF(AND(alpha_a&gt;=$K$10,alpha_a&lt;$L$10),$S$10,IF(AND(alpha_a&gt;=$K$11,alpha_a&lt;$L$11),$S$11," out of range 0 - PI radian")))</f>
        <v>1</v>
      </c>
      <c r="Q17" s="30">
        <f>IF(AND(alpha_a&gt;=$K$9,alpha_a&lt;$L$9),$T$9,IF(AND(alpha_a&gt;=$K$10,alpha_a&lt;$L$10),$T$10,IF(AND(alpha_a&gt;=$K$11,alpha_a&lt;$L$11),$T$11," out of range 0 - PI radian")))</f>
        <v>10</v>
      </c>
      <c r="R17" s="30"/>
      <c r="S17" s="30"/>
      <c r="T17" s="30"/>
      <c r="U17" s="78"/>
    </row>
    <row r="18" spans="1:21" ht="22.5" customHeight="1" thickBot="1" x14ac:dyDescent="0.3">
      <c r="A18" s="24"/>
      <c r="B18" s="24"/>
      <c r="C18" s="24"/>
      <c r="D18" s="24"/>
      <c r="E18" s="24"/>
      <c r="F18" s="24"/>
      <c r="G18" s="24"/>
      <c r="H18" s="24"/>
      <c r="J18" s="77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78"/>
    </row>
    <row r="19" spans="1:21" ht="22.5" customHeight="1" thickTop="1" thickBot="1" x14ac:dyDescent="0.4">
      <c r="J19" s="246" t="s">
        <v>28</v>
      </c>
      <c r="K19" s="247"/>
      <c r="L19" s="79"/>
      <c r="M19" s="30"/>
      <c r="N19" s="30"/>
      <c r="O19" s="30"/>
      <c r="P19" s="30"/>
      <c r="Q19" s="30"/>
      <c r="R19" s="30"/>
      <c r="S19" s="30"/>
      <c r="T19" s="30"/>
      <c r="U19" s="78"/>
    </row>
    <row r="20" spans="1:21" ht="22.5" customHeight="1" thickTop="1" thickBot="1" x14ac:dyDescent="0.4">
      <c r="A20" s="73"/>
      <c r="J20" s="80">
        <f>$L$17*$P$17*(tsp_a^$M$17)*(T_2_a^$N$17)*10^(2*(lambda_a-0.7)+$O$17)</f>
        <v>1.279292943452822E-6</v>
      </c>
      <c r="K20" s="81" t="str">
        <f>IF(T_2_a&gt;=100, "  Wt/cm2","  J/cm2")</f>
        <v xml:space="preserve">  J/cm2</v>
      </c>
      <c r="L20" s="82"/>
      <c r="M20" s="83"/>
      <c r="N20" s="83"/>
      <c r="O20" s="83"/>
      <c r="P20" s="83"/>
      <c r="Q20" s="83"/>
      <c r="R20" s="83"/>
      <c r="S20" s="83"/>
      <c r="T20" s="83"/>
      <c r="U20" s="84"/>
    </row>
    <row r="21" spans="1:21" ht="22.5" customHeight="1" thickTop="1" x14ac:dyDescent="0.25">
      <c r="B21" s="30"/>
    </row>
  </sheetData>
  <sheetProtection algorithmName="SHA-512" hashValue="ZWxVADU+j9lMLcyDyIszPcx2B3FTmSpwAzUj2N6lEtN2+C2wkusxxoFLytT7f6cI2fZewUthK8ALDOZ2oKNhHA==" saltValue="9DvxG7c+s+0nHTnb1jukEQ==" spinCount="100000" sheet="1" objects="1" scenarios="1"/>
  <mergeCells count="5">
    <mergeCell ref="M7:N7"/>
    <mergeCell ref="K7:L7"/>
    <mergeCell ref="O7:T7"/>
    <mergeCell ref="J19:K19"/>
    <mergeCell ref="A16:F16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1"/>
  <sheetViews>
    <sheetView zoomScale="70" zoomScaleNormal="70" workbookViewId="0">
      <selection activeCell="A16" sqref="A16:C16"/>
    </sheetView>
  </sheetViews>
  <sheetFormatPr defaultRowHeight="15" x14ac:dyDescent="0.25"/>
  <cols>
    <col min="1" max="4" width="14.28515625" customWidth="1"/>
    <col min="5" max="5" width="14.140625" customWidth="1"/>
    <col min="6" max="22" width="14.28515625" customWidth="1"/>
    <col min="24" max="24" width="9.140625" customWidth="1"/>
  </cols>
  <sheetData>
    <row r="1" spans="1:22" ht="22.5" customHeight="1" x14ac:dyDescent="0.25"/>
    <row r="2" spans="1:22" ht="44.25" customHeight="1" x14ac:dyDescent="0.25">
      <c r="A2" s="124" t="s">
        <v>63</v>
      </c>
      <c r="B2" s="125" t="s">
        <v>64</v>
      </c>
      <c r="C2" s="126" t="s">
        <v>65</v>
      </c>
      <c r="D2" s="127" t="s">
        <v>66</v>
      </c>
      <c r="E2" s="127" t="s">
        <v>89</v>
      </c>
    </row>
    <row r="3" spans="1:22" ht="22.5" customHeight="1" thickBot="1" x14ac:dyDescent="0.3">
      <c r="A3" s="125" t="s">
        <v>40</v>
      </c>
      <c r="B3" s="125" t="s">
        <v>69</v>
      </c>
      <c r="C3" s="126" t="s">
        <v>34</v>
      </c>
      <c r="D3" s="125" t="s">
        <v>34</v>
      </c>
      <c r="E3" s="125" t="s">
        <v>34</v>
      </c>
    </row>
    <row r="4" spans="1:22" ht="22.5" customHeight="1" thickTop="1" thickBot="1" x14ac:dyDescent="0.35">
      <c r="A4" s="98">
        <f>Main!B12</f>
        <v>0.90400000000000003</v>
      </c>
      <c r="B4" s="128">
        <f>Main!$C$12/Main!$D$12*1000</f>
        <v>0.1</v>
      </c>
      <c r="C4" s="99">
        <f>Main!E12</f>
        <v>1.9999999999999999E-7</v>
      </c>
      <c r="D4" s="99">
        <f>Main!F12</f>
        <v>1E-3</v>
      </c>
      <c r="E4" s="130">
        <v>10</v>
      </c>
    </row>
    <row r="5" spans="1:22" ht="22.5" customHeight="1" thickTop="1" thickBot="1" x14ac:dyDescent="0.3">
      <c r="A5" s="65"/>
      <c r="B5" s="65"/>
      <c r="C5" s="7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ht="22.5" customHeight="1" thickTop="1" thickBot="1" x14ac:dyDescent="0.3">
      <c r="A6" s="23"/>
      <c r="B6" s="23"/>
      <c r="C6" s="64"/>
      <c r="D6" s="2"/>
      <c r="E6" s="2"/>
      <c r="F6" s="2"/>
      <c r="G6" s="2"/>
      <c r="H6" s="2"/>
      <c r="I6" s="2"/>
      <c r="J6" s="74"/>
      <c r="K6" s="75"/>
      <c r="L6" s="75"/>
      <c r="M6" s="75"/>
      <c r="N6" s="75"/>
      <c r="O6" s="75"/>
      <c r="P6" s="75"/>
      <c r="Q6" s="75"/>
      <c r="R6" s="75"/>
      <c r="S6" s="75"/>
      <c r="T6" s="75"/>
      <c r="U6" s="76"/>
      <c r="V6" s="2"/>
    </row>
    <row r="7" spans="1:22" ht="22.5" customHeight="1" thickBot="1" x14ac:dyDescent="0.3">
      <c r="A7" s="2"/>
      <c r="B7" s="2"/>
      <c r="C7" s="2"/>
      <c r="D7" s="2"/>
      <c r="E7" s="2"/>
      <c r="F7" s="2"/>
      <c r="G7" s="2"/>
      <c r="H7" s="2"/>
      <c r="I7" s="2"/>
      <c r="J7" s="77"/>
      <c r="K7" s="241" t="s">
        <v>21</v>
      </c>
      <c r="L7" s="242"/>
      <c r="M7" s="239" t="s">
        <v>24</v>
      </c>
      <c r="N7" s="240"/>
      <c r="O7" s="243" t="s">
        <v>25</v>
      </c>
      <c r="P7" s="244"/>
      <c r="Q7" s="244"/>
      <c r="R7" s="244"/>
      <c r="S7" s="244"/>
      <c r="T7" s="245"/>
      <c r="U7" s="78"/>
      <c r="V7" s="2"/>
    </row>
    <row r="8" spans="1:22" ht="22.5" customHeight="1" thickTop="1" thickBot="1" x14ac:dyDescent="0.3">
      <c r="A8" s="3" t="s">
        <v>0</v>
      </c>
      <c r="B8" s="4" t="s">
        <v>1</v>
      </c>
      <c r="C8" s="5" t="s">
        <v>2</v>
      </c>
      <c r="D8" s="6" t="s">
        <v>3</v>
      </c>
      <c r="E8" s="7" t="s">
        <v>4</v>
      </c>
      <c r="F8" s="17" t="s">
        <v>10</v>
      </c>
      <c r="G8" s="18" t="s">
        <v>11</v>
      </c>
      <c r="H8" s="19" t="s">
        <v>12</v>
      </c>
      <c r="I8" s="2"/>
      <c r="J8" s="77"/>
      <c r="K8" s="55" t="s">
        <v>22</v>
      </c>
      <c r="L8" s="56" t="s">
        <v>23</v>
      </c>
      <c r="M8" s="57" t="s">
        <v>19</v>
      </c>
      <c r="N8" s="56" t="s">
        <v>20</v>
      </c>
      <c r="O8" s="58" t="s">
        <v>1</v>
      </c>
      <c r="P8" s="59" t="s">
        <v>2</v>
      </c>
      <c r="Q8" s="60" t="s">
        <v>3</v>
      </c>
      <c r="R8" s="61" t="s">
        <v>4</v>
      </c>
      <c r="S8" s="62" t="s">
        <v>26</v>
      </c>
      <c r="T8" s="63" t="s">
        <v>74</v>
      </c>
      <c r="U8" s="78"/>
      <c r="V8" s="2"/>
    </row>
    <row r="9" spans="1:22" ht="22.5" customHeight="1" thickBot="1" x14ac:dyDescent="0.3">
      <c r="A9" s="8" t="s">
        <v>5</v>
      </c>
      <c r="B9" s="9">
        <v>1</v>
      </c>
      <c r="C9" s="10">
        <v>0</v>
      </c>
      <c r="D9" s="11">
        <v>0</v>
      </c>
      <c r="E9" s="12">
        <v>-8</v>
      </c>
      <c r="F9" s="1" t="s">
        <v>13</v>
      </c>
      <c r="G9" s="20">
        <v>1</v>
      </c>
      <c r="H9" s="21">
        <v>10</v>
      </c>
      <c r="I9" s="2"/>
      <c r="J9" s="77"/>
      <c r="K9" s="45">
        <v>0</v>
      </c>
      <c r="L9" s="46">
        <v>1.5</v>
      </c>
      <c r="M9" s="47">
        <v>1E-13</v>
      </c>
      <c r="N9" s="48">
        <v>9.9999999999999994E-12</v>
      </c>
      <c r="O9" s="49">
        <v>1</v>
      </c>
      <c r="P9" s="50">
        <v>0</v>
      </c>
      <c r="Q9" s="51">
        <v>0</v>
      </c>
      <c r="R9" s="52">
        <v>-8</v>
      </c>
      <c r="S9" s="53">
        <v>1</v>
      </c>
      <c r="T9" s="54">
        <v>10</v>
      </c>
      <c r="U9" s="78"/>
      <c r="V9" s="2"/>
    </row>
    <row r="10" spans="1:22" ht="22.5" customHeight="1" thickBot="1" x14ac:dyDescent="0.3">
      <c r="A10" s="8" t="s">
        <v>6</v>
      </c>
      <c r="B10" s="9">
        <v>1.5</v>
      </c>
      <c r="C10" s="10">
        <v>0.75</v>
      </c>
      <c r="D10" s="11">
        <v>0</v>
      </c>
      <c r="E10" s="12">
        <v>0</v>
      </c>
      <c r="F10" s="1" t="s">
        <v>14</v>
      </c>
      <c r="G10" s="20" t="s">
        <v>15</v>
      </c>
      <c r="H10" s="21" t="s">
        <v>16</v>
      </c>
      <c r="I10" s="2"/>
      <c r="J10" s="77"/>
      <c r="K10" s="26">
        <v>1.5</v>
      </c>
      <c r="L10" s="39">
        <v>100</v>
      </c>
      <c r="M10" s="37">
        <v>9.9999999999999994E-12</v>
      </c>
      <c r="N10" s="43">
        <v>1.0000000000000001E-9</v>
      </c>
      <c r="O10" s="41">
        <v>1.5</v>
      </c>
      <c r="P10" s="31">
        <v>0.75</v>
      </c>
      <c r="Q10" s="32">
        <v>0</v>
      </c>
      <c r="R10" s="33">
        <v>0</v>
      </c>
      <c r="S10" s="25">
        <f>alpha_b/1.5</f>
        <v>6.6666666666666666E-2</v>
      </c>
      <c r="T10" s="27">
        <f>10^(1+(alpha_b-1.5)/98.5)</f>
        <v>9.678026390533601</v>
      </c>
      <c r="U10" s="78"/>
      <c r="V10" s="2"/>
    </row>
    <row r="11" spans="1:22" ht="22.5" customHeight="1" thickBot="1" x14ac:dyDescent="0.3">
      <c r="A11" s="8" t="s">
        <v>7</v>
      </c>
      <c r="B11" s="9">
        <v>5</v>
      </c>
      <c r="C11" s="10">
        <v>0</v>
      </c>
      <c r="D11" s="11">
        <v>0</v>
      </c>
      <c r="E11" s="12">
        <v>-7</v>
      </c>
      <c r="F11" s="1" t="s">
        <v>17</v>
      </c>
      <c r="G11" s="20" t="s">
        <v>18</v>
      </c>
      <c r="H11" s="21">
        <v>100</v>
      </c>
      <c r="I11" s="2"/>
      <c r="J11" s="77"/>
      <c r="K11" s="26">
        <v>100</v>
      </c>
      <c r="L11" s="39">
        <v>3141</v>
      </c>
      <c r="M11" s="37">
        <v>1.0000000000000001E-9</v>
      </c>
      <c r="N11" s="43">
        <v>1.8E-5</v>
      </c>
      <c r="O11" s="41">
        <v>5</v>
      </c>
      <c r="P11" s="31">
        <v>0</v>
      </c>
      <c r="Q11" s="32">
        <v>0</v>
      </c>
      <c r="R11" s="33">
        <v>-7</v>
      </c>
      <c r="S11" s="25">
        <f>alpha_b^2/150</f>
        <v>6.6666666666666683E-5</v>
      </c>
      <c r="T11" s="27">
        <v>100</v>
      </c>
      <c r="U11" s="78"/>
      <c r="V11" s="2"/>
    </row>
    <row r="12" spans="1:22" ht="22.5" customHeight="1" thickBot="1" x14ac:dyDescent="0.3">
      <c r="A12" s="8" t="s">
        <v>8</v>
      </c>
      <c r="B12" s="9">
        <v>1.8</v>
      </c>
      <c r="C12" s="10">
        <v>0.75</v>
      </c>
      <c r="D12" s="11">
        <v>0</v>
      </c>
      <c r="E12" s="12">
        <v>-3</v>
      </c>
      <c r="F12" s="2"/>
      <c r="G12" s="2"/>
      <c r="H12" s="2"/>
      <c r="I12" s="2"/>
      <c r="J12" s="77"/>
      <c r="K12" s="26"/>
      <c r="L12" s="39"/>
      <c r="M12" s="37">
        <v>1.8E-5</v>
      </c>
      <c r="N12" s="43">
        <f>Q17</f>
        <v>10</v>
      </c>
      <c r="O12" s="41">
        <v>1.8</v>
      </c>
      <c r="P12" s="31">
        <v>0.75</v>
      </c>
      <c r="Q12" s="32">
        <v>0</v>
      </c>
      <c r="R12" s="33">
        <v>-3</v>
      </c>
      <c r="S12" s="22"/>
      <c r="T12" s="34"/>
      <c r="U12" s="78"/>
      <c r="V12" s="2"/>
    </row>
    <row r="13" spans="1:22" ht="22.5" customHeight="1" x14ac:dyDescent="0.25">
      <c r="A13" s="118" t="s">
        <v>9</v>
      </c>
      <c r="B13" s="119">
        <v>1.8</v>
      </c>
      <c r="C13" s="120">
        <v>0</v>
      </c>
      <c r="D13" s="121">
        <v>-0.25</v>
      </c>
      <c r="E13" s="122">
        <v>-3</v>
      </c>
      <c r="F13" s="2"/>
      <c r="G13" s="2"/>
      <c r="H13" s="2"/>
      <c r="I13" s="2"/>
      <c r="J13" s="77"/>
      <c r="K13" s="26"/>
      <c r="L13" s="39"/>
      <c r="M13" s="37">
        <f>Q17</f>
        <v>10</v>
      </c>
      <c r="N13" s="43">
        <v>30000</v>
      </c>
      <c r="O13" s="41">
        <v>1.8</v>
      </c>
      <c r="P13" s="31">
        <v>0</v>
      </c>
      <c r="Q13" s="32">
        <v>-0.25</v>
      </c>
      <c r="R13" s="33">
        <v>-3</v>
      </c>
      <c r="S13" s="22"/>
      <c r="T13" s="34"/>
      <c r="U13" s="78"/>
      <c r="V13" s="2"/>
    </row>
    <row r="14" spans="1:22" ht="22.5" customHeight="1" thickBot="1" x14ac:dyDescent="0.3">
      <c r="A14" s="116"/>
      <c r="B14" s="116"/>
      <c r="C14" s="116"/>
      <c r="D14" s="116"/>
      <c r="E14" s="116"/>
      <c r="F14" s="2"/>
      <c r="G14" s="2"/>
      <c r="H14" s="2"/>
      <c r="I14" s="2"/>
      <c r="J14" s="77"/>
      <c r="K14" s="28"/>
      <c r="L14" s="40"/>
      <c r="M14" s="38"/>
      <c r="N14" s="44"/>
      <c r="O14" s="42"/>
      <c r="P14" s="35"/>
      <c r="Q14" s="35"/>
      <c r="R14" s="35"/>
      <c r="S14" s="29"/>
      <c r="T14" s="36"/>
      <c r="U14" s="78"/>
      <c r="V14" s="2"/>
    </row>
    <row r="15" spans="1:22" ht="22.5" customHeight="1" x14ac:dyDescent="0.25">
      <c r="A15" s="30"/>
      <c r="B15" s="117"/>
      <c r="C15" s="30"/>
      <c r="D15" s="30"/>
      <c r="E15" s="30"/>
      <c r="F15" s="2"/>
      <c r="G15" s="2"/>
      <c r="H15" s="2"/>
      <c r="I15" s="2"/>
      <c r="J15" s="77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78"/>
      <c r="V15" s="2"/>
    </row>
    <row r="16" spans="1:22" ht="22.5" customHeight="1" x14ac:dyDescent="0.35">
      <c r="A16" s="72" t="s">
        <v>30</v>
      </c>
      <c r="B16" s="66"/>
      <c r="C16" s="67"/>
      <c r="D16" s="68"/>
      <c r="E16" s="69"/>
      <c r="F16" s="70"/>
      <c r="G16" s="24"/>
      <c r="H16" s="24"/>
      <c r="I16" s="2"/>
      <c r="J16" s="77"/>
      <c r="L16" s="22" t="s">
        <v>1</v>
      </c>
      <c r="M16" s="22" t="s">
        <v>2</v>
      </c>
      <c r="N16" s="22" t="s">
        <v>3</v>
      </c>
      <c r="O16" s="22" t="s">
        <v>4</v>
      </c>
      <c r="P16" s="22" t="s">
        <v>29</v>
      </c>
      <c r="Q16" s="22" t="s">
        <v>70</v>
      </c>
      <c r="R16" s="143" t="s">
        <v>92</v>
      </c>
      <c r="S16" s="30" t="s">
        <v>75</v>
      </c>
      <c r="T16" s="30"/>
      <c r="U16" s="78"/>
      <c r="V16" s="2"/>
    </row>
    <row r="17" spans="1:22" ht="22.5" customHeight="1" x14ac:dyDescent="0.25">
      <c r="A17" s="24"/>
      <c r="B17" s="24"/>
      <c r="C17" s="24"/>
      <c r="D17" s="24"/>
      <c r="E17" s="24"/>
      <c r="F17" s="24"/>
      <c r="G17" s="24"/>
      <c r="H17" s="24"/>
      <c r="I17" s="2"/>
      <c r="J17" s="77"/>
      <c r="K17" s="196" t="s">
        <v>91</v>
      </c>
      <c r="L17" s="22">
        <f>IF(AND(tsp_b&gt;=$M$9,tsp_b&lt;$N$9),$O$9,IF(AND(tsp_b&gt;=$M$10,tsp_b&lt;$N$10),$O$10,IF(AND(tsp_b&gt;=$M$11,tsp_b&lt;$N$11),$O$11,IF(AND(tsp_b&gt;=$M$12,tsp_b&lt;$N$12),$O$12,IF(AND(tsp_b&gt;=$M$13,tsp_b&lt;$N$13),$O$13,"tsp_b out of range10^-13 - 3*10^4sec")))))</f>
        <v>5</v>
      </c>
      <c r="M17" s="22">
        <f>IF(AND(tsp_b&gt;=$M$9,tsp_b&lt;$N$9),$P$9,IF(AND(tsp_b&gt;=$M$10,tsp_b&lt;$N$10),$P$10,IF(AND(tsp_b&gt;=$M$11,tsp_b&lt;$N$11),$P$11,IF(AND(tsp_b&gt;=$M$12,tsp_b&lt;$N$12),$P$12,IF(AND(tsp_b&gt;=$M$13,tsp_b&lt;$N$13),$P$13,"t out of range10^-13 - 3*10^4sec")))))</f>
        <v>0</v>
      </c>
      <c r="N17" s="22">
        <f>IF(AND(tsp_b&gt;=$M$9,tsp_b&lt;$N$9),$Q$9,IF(AND(tsp_b&gt;=$M$10,tsp_b&lt;$N$10),$Q$10,IF(AND(tsp_b&gt;=$M$11,tsp_b&lt;$N$11),$Q$11,IF(AND(tsp_b&gt;=$M$12,tsp_b&lt;$N$12),$Q$12,IF(AND(tsp_b&gt;=$M$13,tsp_b&lt;$N$13),$Q$13,"t out of range10^-13 - 3*10^4sec")))))</f>
        <v>0</v>
      </c>
      <c r="O17" s="22">
        <f>IF(AND(tsp_b&gt;=$M$9,tsp_b&lt;$N$9),$R$9,IF(AND(tsp_b&gt;=$M$10,tsp_b&lt;$N$10),$R$10,IF(AND(tsp_b&gt;=$M$11,tsp_b&lt;$N$11),$R$11,IF(AND(tsp_b&gt;=$M$12,tsp_b&lt;$N$12),$R$12,IF(AND(tsp_b&gt;=$M$13,tsp_b&lt;$N$13),$R$13,"t out of range10^-13 - 3*10^4sec")))))</f>
        <v>-7</v>
      </c>
      <c r="P17" s="64">
        <f>IF(AND(alpha_b&gt;=$K$9,alpha_b&lt;$L$9),$S$9,IF(AND(alpha_b&gt;=$K$10,alpha_b&lt;$L$10),$S$10,IF(AND(alpha_b&gt;=$K$11,alpha_b&lt;$L$11),$S$11," out of range 0 - PI radian")))</f>
        <v>1</v>
      </c>
      <c r="Q17" s="64">
        <f>IF(AND(alpha_b&gt;=$K$9,alpha_b&lt;$L$9),$T$9,IF(AND(alpha_b&gt;=$K$10,alpha_b&lt;$L$10),$T$10,IF(AND(alpha_b&gt;=$K$11,alpha_b&lt;$L$11),$T$11," out of range 0 - PI radian")))</f>
        <v>10</v>
      </c>
      <c r="R17">
        <f>tsp_b</f>
        <v>1.9999999999999999E-7</v>
      </c>
      <c r="T17" s="30"/>
      <c r="U17" s="78"/>
      <c r="V17" s="2"/>
    </row>
    <row r="18" spans="1:22" ht="22.5" customHeight="1" x14ac:dyDescent="0.25">
      <c r="A18" s="24"/>
      <c r="B18" s="24"/>
      <c r="C18" s="24"/>
      <c r="D18" s="24"/>
      <c r="E18" s="24"/>
      <c r="F18" s="24"/>
      <c r="G18" s="24"/>
      <c r="H18" s="24"/>
      <c r="I18" s="2"/>
      <c r="J18" s="77"/>
      <c r="K18" s="195" t="s">
        <v>90</v>
      </c>
      <c r="L18" s="22">
        <f>IF(AND($E$4&gt;=$M$9,$E$4&lt;$N$9),$O$9,IF(AND($E$4&gt;=$M$10,$E$4&lt;$N$10),$O$10,IF(AND($E$4&gt;=$M$11,$E$4&lt;$N$11),$O$11,IF(AND($E$4&gt;=$M$12,$E$4&lt;$N$12),$O$12,IF(AND($E$4&gt;=$M$13,$E$4&lt;$N$13),$O$13,"exposure duration is out of range10^-13 - 3*10^4sec")))))</f>
        <v>1.8</v>
      </c>
      <c r="M18" s="142">
        <f>IF(AND($E$4&gt;$M$9,$E$4&lt;=$N$9),$P$9,IF(AND($E$4&gt;$M$10,$E$4&lt;=$N$10),$P$10,IF(AND($E$4&gt;$M$11,$E$4&lt;=$N$11),$P$11,IF(AND($E$4&gt;$M$12,$E$4&lt;=$N$12),$P$12,IF(AND($E$4&gt;$M$13,$E$4&lt;=$N$13),$P$13,"t out of range10^-13 - 3*10^4sec")))))</f>
        <v>0.75</v>
      </c>
      <c r="N18" s="30">
        <f>IF(AND($E$4&gt;=$M$9,$E$4&lt;=$N$9),$Q$9,IF(AND($E$4&gt;$M$10,$E$4&lt;=$N$10),$Q$10,IF(AND($E$4&gt;$M$11,$E$4&lt;=$N$11),$Q$11,IF(AND($E$4&gt;$M$12,$E$4&lt;=$N$12),$Q$12,IF(AND($E$4&gt;$M$13,$E$4&lt;=$N$13),$Q$13,"t out of range10^-13 - 3*10^4sec")))))</f>
        <v>0</v>
      </c>
      <c r="O18" s="30">
        <f>IF(AND($E$4&gt;=$M$9,$E$4&lt;$N$9),$R$9,IF(AND($E$4&gt;=$M$10,$E$4&lt;$N$10),$R$10,IF(AND($E$4&gt;=$M$11,$E$4&lt;$N$11),$R$11,IF(AND($E$4&gt;=$M$12,$E$4&lt;$N$12),$R$12,IF(AND($E$4&gt;=$M$13,$E$4&lt;$N$13),$R$13,"t out of range10^-13 - 3*10^4sec")))))</f>
        <v>-3</v>
      </c>
      <c r="P18" s="64">
        <f>IF(AND(alpha_b&gt;=$K$9,alpha_b&lt;$L$9),$S$9,IF(AND(alpha_b&gt;=$K$10,alpha_b&lt;$L$10),$S$10,IF(AND(alpha_b&gt;=$K$11,alpha_b&lt;$L$11),$S$11," out of range 0 - PI radian")))</f>
        <v>1</v>
      </c>
      <c r="Q18" s="64">
        <f>IF(AND(alpha_b&gt;=$K$9,alpha_b&lt;$L$9),$T$9,IF(AND(alpha_b&gt;=$K$10,alpha_b&lt;$L$10),$T$10,IF(AND(alpha_b&gt;=$K$11,alpha_b&lt;$L$11),$T$11," out of range 0 - PI radian")))</f>
        <v>10</v>
      </c>
      <c r="R18" s="30">
        <f>E4</f>
        <v>10</v>
      </c>
      <c r="S18" s="30">
        <f>$E$4/(tsp_b+$D$4)</f>
        <v>9998.0003999200162</v>
      </c>
      <c r="T18" s="30"/>
      <c r="U18" s="78"/>
      <c r="V18" s="2"/>
    </row>
    <row r="19" spans="1:22" ht="22.5" customHeight="1" x14ac:dyDescent="0.35">
      <c r="A19" s="114"/>
      <c r="B19" s="2"/>
      <c r="C19" s="2"/>
      <c r="D19" s="2"/>
      <c r="E19" s="2"/>
      <c r="F19" s="2"/>
      <c r="G19" s="2"/>
      <c r="H19" s="2"/>
      <c r="I19" s="201"/>
      <c r="J19" s="251"/>
      <c r="K19" s="251"/>
      <c r="L19" s="251"/>
      <c r="M19" s="123"/>
      <c r="N19" s="123"/>
      <c r="O19" s="30"/>
      <c r="P19" s="30"/>
      <c r="Q19" s="30"/>
      <c r="R19" s="30"/>
      <c r="S19" s="30"/>
      <c r="T19" s="30"/>
      <c r="U19" s="78"/>
      <c r="V19" s="2"/>
    </row>
    <row r="20" spans="1:22" ht="22.5" customHeight="1" x14ac:dyDescent="0.35">
      <c r="A20" s="73"/>
      <c r="B20" s="2"/>
      <c r="C20" s="2"/>
      <c r="D20" s="2"/>
      <c r="E20" s="2"/>
      <c r="F20" s="30"/>
      <c r="G20" s="2"/>
      <c r="H20" s="2"/>
      <c r="I20" s="201"/>
      <c r="J20" s="251" t="s">
        <v>59</v>
      </c>
      <c r="K20" s="251"/>
      <c r="L20" s="251"/>
      <c r="M20" s="24"/>
      <c r="N20" s="30"/>
      <c r="O20" s="30"/>
      <c r="P20" s="30"/>
      <c r="Q20" s="30"/>
      <c r="R20" s="30"/>
      <c r="S20" s="30"/>
      <c r="T20" s="30"/>
      <c r="U20" s="78"/>
      <c r="V20" s="2"/>
    </row>
    <row r="21" spans="1:22" ht="23.25" customHeight="1" x14ac:dyDescent="0.35">
      <c r="A21" s="2"/>
      <c r="B21" s="30"/>
      <c r="C21" s="2"/>
      <c r="D21" s="2"/>
      <c r="E21" s="2"/>
      <c r="F21" s="30"/>
      <c r="G21" s="2"/>
      <c r="H21" s="2"/>
      <c r="I21" s="201"/>
      <c r="J21" s="198">
        <f>$L$17*$P$17*($R$17^$M$17)*($Q$17^$N$17)*10^(2*(lambda_b-0.7)+$O$17)</f>
        <v>1.279292943452822E-6</v>
      </c>
      <c r="K21" s="152" t="str">
        <f>IF(T_2_b&gt;=100, "  Wt/cm2","  J/cm2")</f>
        <v xml:space="preserve">  J/cm2</v>
      </c>
      <c r="L21" s="79"/>
      <c r="M21" s="24"/>
      <c r="N21" s="2"/>
      <c r="O21" s="2"/>
      <c r="P21" s="2"/>
      <c r="Q21" s="2"/>
      <c r="R21" s="2"/>
      <c r="S21" s="2"/>
      <c r="T21" s="2"/>
      <c r="U21" s="78"/>
      <c r="V21" s="2"/>
    </row>
    <row r="22" spans="1:22" ht="23.25" customHeight="1" x14ac:dyDescent="0.35">
      <c r="A22" s="2"/>
      <c r="B22" s="2"/>
      <c r="C22" s="2"/>
      <c r="D22" s="2"/>
      <c r="E22" s="2"/>
      <c r="F22" s="2"/>
      <c r="G22" s="2"/>
      <c r="H22" s="2"/>
      <c r="I22" s="201"/>
      <c r="J22" s="2"/>
      <c r="K22" s="2"/>
      <c r="L22" s="2"/>
      <c r="M22" s="123"/>
      <c r="N22" s="2"/>
      <c r="O22" s="2"/>
      <c r="P22" s="2"/>
      <c r="Q22" s="2"/>
      <c r="R22" s="2"/>
      <c r="S22" s="2"/>
      <c r="T22" s="2"/>
      <c r="U22" s="78"/>
      <c r="V22" s="2"/>
    </row>
    <row r="23" spans="1:22" ht="23.25" customHeight="1" x14ac:dyDescent="0.35">
      <c r="A23" s="2"/>
      <c r="B23" s="2"/>
      <c r="C23" s="2"/>
      <c r="D23" s="2"/>
      <c r="E23" s="2"/>
      <c r="F23" s="2"/>
      <c r="G23" s="2"/>
      <c r="H23" s="2"/>
      <c r="I23" s="201"/>
      <c r="J23" s="251" t="s">
        <v>60</v>
      </c>
      <c r="K23" s="251"/>
      <c r="L23" s="251"/>
      <c r="M23" s="24"/>
      <c r="N23" s="30"/>
      <c r="O23" s="30"/>
      <c r="P23" s="30"/>
      <c r="Q23" s="30"/>
      <c r="R23" s="30"/>
      <c r="S23" s="30"/>
      <c r="T23" s="30"/>
      <c r="U23" s="78"/>
      <c r="V23" s="2"/>
    </row>
    <row r="24" spans="1:22" ht="23.25" customHeight="1" x14ac:dyDescent="0.35">
      <c r="I24" s="199"/>
      <c r="J24" s="198">
        <f>L18*P18*(R18^M18)*(Q18^N18)*10^(2*(lambda_b-0.7)+O18)/S18</f>
        <v>2.5903554083486953E-6</v>
      </c>
      <c r="K24" s="152" t="str">
        <f>IF(T_2_b&gt;=100, "  Wt/cm2","  J/cm2")</f>
        <v xml:space="preserve">  J/cm2</v>
      </c>
      <c r="L24" s="30"/>
      <c r="M24" s="157"/>
      <c r="N24" s="148"/>
      <c r="O24" s="148"/>
      <c r="P24" s="148"/>
      <c r="Q24" s="148"/>
      <c r="R24" s="148"/>
      <c r="S24" s="148"/>
      <c r="T24" s="148"/>
      <c r="U24" s="148"/>
      <c r="V24" s="150"/>
    </row>
    <row r="25" spans="1:22" ht="23.25" customHeight="1" x14ac:dyDescent="0.35">
      <c r="I25" s="199"/>
      <c r="J25" s="148"/>
      <c r="K25" s="148"/>
      <c r="L25" s="148"/>
      <c r="M25" s="123"/>
      <c r="N25" s="148"/>
      <c r="O25" s="148"/>
      <c r="P25" s="148"/>
      <c r="Q25" s="148"/>
      <c r="R25" s="148"/>
      <c r="S25" s="148"/>
      <c r="T25" s="148"/>
      <c r="U25" s="149"/>
    </row>
    <row r="26" spans="1:22" ht="23.25" customHeight="1" x14ac:dyDescent="0.35">
      <c r="I26" s="201"/>
      <c r="J26" s="141" t="s">
        <v>61</v>
      </c>
      <c r="K26" s="141"/>
      <c r="L26" s="141"/>
      <c r="M26" s="24"/>
      <c r="N26" s="30"/>
      <c r="O26" s="30"/>
      <c r="P26" s="30"/>
      <c r="Q26" s="30"/>
      <c r="R26" s="30"/>
      <c r="S26" s="30"/>
      <c r="T26" s="30"/>
      <c r="U26" s="78"/>
      <c r="V26" s="2"/>
    </row>
    <row r="27" spans="1:22" ht="23.25" customHeight="1" thickBot="1" x14ac:dyDescent="0.4">
      <c r="I27" s="24"/>
      <c r="J27" s="153">
        <f>$J$21*$S$18^-0.25</f>
        <v>1.2793569033032059E-7</v>
      </c>
      <c r="K27" s="154" t="str">
        <f>IF(T_2_b&gt;=100, "  Wt/cm2","  J/cm2")</f>
        <v xml:space="preserve">  J/cm2</v>
      </c>
      <c r="L27" s="83"/>
      <c r="M27" s="202"/>
      <c r="N27" s="83"/>
      <c r="O27" s="83"/>
      <c r="P27" s="83"/>
      <c r="Q27" s="83"/>
      <c r="R27" s="83"/>
      <c r="S27" s="83"/>
      <c r="T27" s="83"/>
      <c r="U27" s="83"/>
      <c r="V27" s="77"/>
    </row>
    <row r="28" spans="1:22" ht="23.25" customHeight="1" thickTop="1" thickBot="1" x14ac:dyDescent="0.4">
      <c r="I28" s="24"/>
      <c r="J28" s="30"/>
      <c r="K28" s="30"/>
      <c r="L28" s="30"/>
      <c r="M28" s="123"/>
      <c r="N28" s="140"/>
      <c r="O28" s="140"/>
      <c r="P28" s="140"/>
      <c r="Q28" s="140"/>
      <c r="R28" s="140"/>
      <c r="S28" s="140"/>
      <c r="T28" s="140"/>
      <c r="U28" s="30"/>
      <c r="V28" s="30"/>
    </row>
    <row r="29" spans="1:22" ht="23.25" customHeight="1" thickTop="1" x14ac:dyDescent="0.35">
      <c r="I29" s="24"/>
      <c r="J29" s="144" t="s">
        <v>93</v>
      </c>
      <c r="K29" s="145"/>
      <c r="L29" s="123"/>
      <c r="M29" s="140"/>
      <c r="N29" s="140"/>
      <c r="O29" s="140"/>
      <c r="P29" s="140"/>
      <c r="Q29" s="140"/>
      <c r="R29" s="140"/>
      <c r="S29" s="140"/>
      <c r="T29" s="140"/>
      <c r="U29" s="30"/>
      <c r="V29" s="30"/>
    </row>
    <row r="30" spans="1:22" ht="23.25" customHeight="1" thickBot="1" x14ac:dyDescent="0.4">
      <c r="I30" s="2"/>
      <c r="J30" s="80">
        <f>MIN(J21,J24,J27)*S18</f>
        <v>1.2791010830865885E-3</v>
      </c>
      <c r="K30" s="146" t="str">
        <f>IF(T_2_b&gt;=100, "  Wt/cm2","  J/cm2")</f>
        <v xml:space="preserve">  J/cm2</v>
      </c>
      <c r="L30" s="147"/>
      <c r="M30" s="133"/>
      <c r="N30" s="133"/>
      <c r="O30" s="134"/>
      <c r="P30" s="135"/>
      <c r="Q30" s="136"/>
      <c r="R30" s="137"/>
      <c r="S30" s="138"/>
      <c r="T30" s="139"/>
      <c r="U30" s="30"/>
      <c r="V30" s="30"/>
    </row>
    <row r="31" spans="1:22" ht="23.25" customHeight="1" thickTop="1" x14ac:dyDescent="0.25">
      <c r="F31" t="s">
        <v>101</v>
      </c>
      <c r="I31" s="2"/>
      <c r="J31" s="30"/>
      <c r="K31" s="30"/>
      <c r="L31" s="30"/>
      <c r="M31" s="133"/>
      <c r="N31" s="133"/>
      <c r="O31" s="134"/>
      <c r="P31" s="135"/>
      <c r="Q31" s="136"/>
      <c r="R31" s="137"/>
      <c r="S31" s="138"/>
      <c r="T31" s="139"/>
      <c r="U31" s="30"/>
      <c r="V31" s="30"/>
    </row>
    <row r="32" spans="1:22" ht="23.25" customHeight="1" x14ac:dyDescent="0.25">
      <c r="I32" s="24"/>
      <c r="J32" s="24"/>
      <c r="K32" s="24"/>
      <c r="L32" s="24"/>
      <c r="M32" s="165"/>
      <c r="N32" s="165"/>
      <c r="O32" s="166"/>
      <c r="P32" s="167"/>
      <c r="Q32" s="168"/>
      <c r="R32" s="169"/>
      <c r="S32" s="170"/>
      <c r="T32" s="171"/>
      <c r="U32" s="24"/>
      <c r="V32" s="24"/>
    </row>
    <row r="33" spans="9:22" ht="23.25" customHeight="1" x14ac:dyDescent="0.25"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</row>
    <row r="34" spans="9:22" ht="23.25" customHeight="1" x14ac:dyDescent="0.25">
      <c r="I34" s="24"/>
      <c r="J34" s="24"/>
      <c r="K34" s="252"/>
      <c r="L34" s="252"/>
      <c r="M34" s="253"/>
      <c r="N34" s="253"/>
      <c r="O34" s="252"/>
      <c r="P34" s="252"/>
      <c r="Q34" s="252"/>
      <c r="R34" s="252"/>
      <c r="S34" s="252"/>
      <c r="T34" s="252"/>
      <c r="U34" s="24"/>
      <c r="V34" s="24"/>
    </row>
    <row r="35" spans="9:22" ht="23.25" customHeight="1" x14ac:dyDescent="0.25">
      <c r="I35" s="24"/>
      <c r="J35" s="24"/>
      <c r="K35" s="158"/>
      <c r="L35" s="158"/>
      <c r="M35" s="158"/>
      <c r="N35" s="158"/>
      <c r="O35" s="159"/>
      <c r="P35" s="160"/>
      <c r="Q35" s="161"/>
      <c r="R35" s="162"/>
      <c r="S35" s="163"/>
      <c r="T35" s="164"/>
      <c r="U35" s="24"/>
      <c r="V35" s="24"/>
    </row>
    <row r="36" spans="9:22" ht="23.25" customHeight="1" x14ac:dyDescent="0.25">
      <c r="I36" s="24"/>
      <c r="J36" s="24"/>
      <c r="K36" s="24"/>
      <c r="L36" s="24"/>
      <c r="M36" s="165"/>
      <c r="N36" s="165"/>
      <c r="O36" s="166"/>
      <c r="P36" s="167"/>
      <c r="Q36" s="168"/>
      <c r="R36" s="169"/>
      <c r="S36" s="170"/>
      <c r="T36" s="171"/>
      <c r="U36" s="24"/>
      <c r="V36" s="24"/>
    </row>
    <row r="37" spans="9:22" ht="23.25" customHeight="1" x14ac:dyDescent="0.25">
      <c r="I37" s="24"/>
      <c r="J37" s="24"/>
      <c r="K37" s="24"/>
      <c r="L37" s="24"/>
      <c r="M37" s="165"/>
      <c r="N37" s="165"/>
      <c r="O37" s="166"/>
      <c r="P37" s="167"/>
      <c r="Q37" s="168"/>
      <c r="R37" s="169"/>
      <c r="S37" s="170"/>
      <c r="T37" s="171"/>
      <c r="U37" s="24"/>
      <c r="V37" s="24"/>
    </row>
    <row r="38" spans="9:22" ht="23.25" customHeight="1" x14ac:dyDescent="0.25">
      <c r="I38" s="24"/>
      <c r="J38" s="24"/>
      <c r="K38" s="24"/>
      <c r="L38" s="24"/>
      <c r="M38" s="165"/>
      <c r="N38" s="165"/>
      <c r="O38" s="166"/>
      <c r="P38" s="167"/>
      <c r="Q38" s="168"/>
      <c r="R38" s="169"/>
      <c r="S38" s="170"/>
      <c r="T38" s="171"/>
      <c r="U38" s="24"/>
      <c r="V38" s="24"/>
    </row>
    <row r="39" spans="9:22" ht="23.25" customHeight="1" x14ac:dyDescent="0.25">
      <c r="I39" s="24"/>
      <c r="J39" s="24"/>
      <c r="K39" s="24"/>
      <c r="L39" s="24"/>
      <c r="M39" s="165"/>
      <c r="N39" s="165"/>
      <c r="O39" s="166"/>
      <c r="P39" s="167"/>
      <c r="Q39" s="168"/>
      <c r="R39" s="169"/>
      <c r="S39" s="24"/>
      <c r="T39" s="24"/>
      <c r="U39" s="24"/>
      <c r="V39" s="24"/>
    </row>
    <row r="40" spans="9:22" ht="23.25" customHeight="1" x14ac:dyDescent="0.25">
      <c r="I40" s="24"/>
      <c r="J40" s="24"/>
      <c r="K40" s="24"/>
      <c r="L40" s="24"/>
      <c r="M40" s="165"/>
      <c r="N40" s="165"/>
      <c r="O40" s="166"/>
      <c r="P40" s="167"/>
      <c r="Q40" s="168"/>
      <c r="R40" s="169"/>
      <c r="S40" s="24"/>
      <c r="T40" s="24"/>
      <c r="U40" s="24"/>
      <c r="V40" s="24"/>
    </row>
    <row r="41" spans="9:22" ht="23.25" customHeight="1" x14ac:dyDescent="0.25">
      <c r="I41" s="24"/>
      <c r="J41" s="24"/>
      <c r="K41" s="24"/>
      <c r="L41" s="24"/>
      <c r="M41" s="172"/>
      <c r="N41" s="172"/>
      <c r="O41" s="173"/>
      <c r="P41" s="173"/>
      <c r="Q41" s="173"/>
      <c r="R41" s="173"/>
      <c r="S41" s="24"/>
      <c r="T41" s="24"/>
      <c r="U41" s="24"/>
      <c r="V41" s="24"/>
    </row>
    <row r="42" spans="9:22" ht="23.25" customHeight="1" x14ac:dyDescent="0.25"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</row>
    <row r="43" spans="9:22" ht="23.25" customHeight="1" x14ac:dyDescent="0.25">
      <c r="I43" s="24"/>
      <c r="J43" s="24"/>
      <c r="K43" s="157"/>
      <c r="L43" s="24"/>
      <c r="M43" s="24"/>
      <c r="N43" s="24"/>
      <c r="O43" s="24"/>
      <c r="P43" s="24"/>
      <c r="Q43" s="24"/>
      <c r="R43" s="24"/>
      <c r="S43" s="24"/>
      <c r="T43" s="157"/>
      <c r="U43" s="24"/>
      <c r="V43" s="24"/>
    </row>
    <row r="44" spans="9:22" ht="23.25" customHeight="1" x14ac:dyDescent="0.35">
      <c r="I44" s="197"/>
      <c r="J44" s="24"/>
      <c r="K44" s="200"/>
      <c r="L44" s="24"/>
      <c r="M44" s="24"/>
      <c r="N44" s="24"/>
      <c r="O44" s="24"/>
      <c r="P44" s="24"/>
      <c r="Q44" s="24"/>
      <c r="R44" s="157"/>
      <c r="S44" s="157"/>
      <c r="T44" s="24"/>
      <c r="U44" s="24"/>
      <c r="V44" s="157"/>
    </row>
    <row r="45" spans="9:22" ht="23.25" customHeight="1" x14ac:dyDescent="0.35">
      <c r="I45" s="197"/>
      <c r="J45" s="24"/>
      <c r="K45" s="200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157"/>
    </row>
    <row r="46" spans="9:22" ht="23.25" customHeight="1" x14ac:dyDescent="0.35">
      <c r="I46" s="157"/>
      <c r="J46" s="157"/>
      <c r="K46" s="157"/>
      <c r="L46" s="157"/>
      <c r="M46" s="157"/>
      <c r="N46" s="123"/>
      <c r="O46" s="24"/>
      <c r="P46" s="24"/>
      <c r="Q46" s="24"/>
      <c r="R46" s="24"/>
      <c r="S46" s="24"/>
      <c r="T46" s="24"/>
      <c r="U46" s="24"/>
      <c r="V46" s="157"/>
    </row>
    <row r="47" spans="9:22" ht="23.25" customHeight="1" x14ac:dyDescent="0.35">
      <c r="I47" s="157"/>
      <c r="J47" s="251"/>
      <c r="K47" s="251"/>
      <c r="L47" s="251"/>
      <c r="M47" s="157"/>
      <c r="N47" s="24"/>
      <c r="O47" s="24"/>
      <c r="P47" s="24"/>
      <c r="Q47" s="24"/>
      <c r="R47" s="24"/>
      <c r="S47" s="24"/>
      <c r="T47" s="24"/>
      <c r="U47" s="24"/>
      <c r="V47" s="157"/>
    </row>
    <row r="48" spans="9:22" ht="23.25" customHeight="1" x14ac:dyDescent="0.35">
      <c r="I48" s="157"/>
      <c r="J48" s="155"/>
      <c r="K48" s="156"/>
      <c r="L48" s="156"/>
      <c r="M48" s="24"/>
      <c r="N48" s="24"/>
      <c r="O48" s="24"/>
      <c r="P48" s="24"/>
      <c r="Q48" s="24"/>
      <c r="R48" s="24"/>
      <c r="S48" s="24"/>
      <c r="T48" s="24"/>
      <c r="U48" s="24"/>
      <c r="V48" s="157"/>
    </row>
    <row r="49" spans="9:22" ht="23.25" customHeight="1" x14ac:dyDescent="0.25">
      <c r="I49" s="157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157"/>
    </row>
    <row r="50" spans="9:22" ht="23.25" customHeight="1" x14ac:dyDescent="0.35">
      <c r="I50" s="157"/>
      <c r="J50" s="251"/>
      <c r="K50" s="251"/>
      <c r="L50" s="251"/>
      <c r="M50" s="157"/>
      <c r="N50" s="24"/>
      <c r="O50" s="24"/>
      <c r="P50" s="24"/>
      <c r="Q50" s="24"/>
      <c r="R50" s="24"/>
      <c r="S50" s="24"/>
      <c r="T50" s="24"/>
      <c r="U50" s="24"/>
      <c r="V50" s="157"/>
    </row>
    <row r="51" spans="9:22" ht="23.25" customHeight="1" x14ac:dyDescent="0.35">
      <c r="I51" s="157"/>
      <c r="J51" s="155"/>
      <c r="K51" s="156"/>
      <c r="L51" s="24"/>
      <c r="M51" s="24"/>
      <c r="N51" s="157"/>
      <c r="O51" s="157"/>
      <c r="P51" s="157"/>
      <c r="Q51" s="157"/>
      <c r="R51" s="157"/>
      <c r="S51" s="157"/>
      <c r="T51" s="157"/>
      <c r="U51" s="157"/>
      <c r="V51" s="157"/>
    </row>
    <row r="52" spans="9:22" ht="23.25" customHeight="1" x14ac:dyDescent="0.25"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</row>
    <row r="53" spans="9:22" ht="23.25" customHeight="1" x14ac:dyDescent="0.35">
      <c r="I53" s="157"/>
      <c r="J53" s="141"/>
      <c r="K53" s="141"/>
      <c r="L53" s="141"/>
      <c r="M53" s="141"/>
      <c r="N53" s="24"/>
      <c r="O53" s="24"/>
      <c r="P53" s="24"/>
      <c r="Q53" s="24"/>
      <c r="R53" s="24"/>
      <c r="S53" s="24"/>
      <c r="T53" s="24"/>
      <c r="U53" s="24"/>
      <c r="V53" s="157"/>
    </row>
    <row r="54" spans="9:22" ht="23.25" customHeight="1" x14ac:dyDescent="0.35">
      <c r="I54" s="157"/>
      <c r="J54" s="155"/>
      <c r="K54" s="156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157"/>
    </row>
    <row r="55" spans="9:22" ht="23.25" customHeight="1" x14ac:dyDescent="0.25">
      <c r="I55" s="157"/>
      <c r="J55" s="24"/>
      <c r="K55" s="24"/>
      <c r="L55" s="24"/>
      <c r="M55" s="24"/>
      <c r="N55" s="140"/>
      <c r="O55" s="140"/>
      <c r="P55" s="140"/>
      <c r="Q55" s="140"/>
      <c r="R55" s="140"/>
      <c r="S55" s="140"/>
      <c r="T55" s="140"/>
      <c r="U55" s="24"/>
      <c r="V55" s="157"/>
    </row>
    <row r="56" spans="9:22" ht="23.25" customHeight="1" x14ac:dyDescent="0.35">
      <c r="I56" s="157"/>
      <c r="J56" s="123"/>
      <c r="K56" s="123"/>
      <c r="L56" s="123"/>
      <c r="M56" s="123"/>
      <c r="N56" s="140"/>
      <c r="O56" s="140"/>
      <c r="P56" s="140"/>
      <c r="Q56" s="140"/>
      <c r="R56" s="140"/>
      <c r="S56" s="140"/>
      <c r="T56" s="140"/>
      <c r="U56" s="24"/>
      <c r="V56" s="157"/>
    </row>
    <row r="57" spans="9:22" ht="23.25" customHeight="1" x14ac:dyDescent="0.35">
      <c r="I57" s="157"/>
      <c r="J57" s="155"/>
      <c r="K57" s="156"/>
      <c r="L57" s="140"/>
      <c r="M57" s="140"/>
      <c r="N57" s="24"/>
      <c r="O57" s="24"/>
      <c r="P57" s="24"/>
      <c r="Q57" s="24"/>
      <c r="R57" s="24"/>
      <c r="S57" s="24"/>
      <c r="T57" s="24"/>
      <c r="U57" s="24"/>
      <c r="V57" s="157"/>
    </row>
    <row r="58" spans="9:22" ht="23.25" customHeight="1" x14ac:dyDescent="0.25">
      <c r="I58" s="157"/>
      <c r="J58" s="157"/>
      <c r="K58" s="157"/>
      <c r="L58" s="157"/>
      <c r="M58" s="157"/>
      <c r="N58" s="24"/>
      <c r="O58" s="24"/>
      <c r="P58" s="24"/>
      <c r="Q58" s="24"/>
      <c r="R58" s="24"/>
      <c r="S58" s="24"/>
      <c r="T58" s="24"/>
      <c r="U58" s="24"/>
      <c r="V58" s="157"/>
    </row>
    <row r="59" spans="9:22" ht="23.25" customHeight="1" x14ac:dyDescent="0.25">
      <c r="I59" s="157"/>
      <c r="N59" s="24"/>
      <c r="O59" s="24"/>
      <c r="P59" s="24"/>
      <c r="Q59" s="24"/>
      <c r="R59" s="24"/>
      <c r="S59" s="24"/>
      <c r="T59" s="24"/>
      <c r="U59" s="24"/>
      <c r="V59" s="157"/>
    </row>
    <row r="60" spans="9:22" ht="23.25" customHeight="1" x14ac:dyDescent="0.25">
      <c r="I60" s="157"/>
      <c r="N60" s="157"/>
      <c r="O60" s="157"/>
      <c r="P60" s="157"/>
      <c r="Q60" s="157"/>
      <c r="R60" s="157"/>
      <c r="S60" s="157"/>
      <c r="T60" s="157"/>
      <c r="U60" s="157"/>
      <c r="V60" s="157"/>
    </row>
    <row r="61" spans="9:22" ht="23.25" customHeight="1" x14ac:dyDescent="0.25">
      <c r="I61" s="157"/>
      <c r="N61" s="157"/>
      <c r="O61" s="157"/>
      <c r="P61" s="157"/>
      <c r="Q61" s="157"/>
      <c r="R61" s="157"/>
      <c r="S61" s="157"/>
      <c r="T61" s="157"/>
      <c r="U61" s="157"/>
      <c r="V61" s="157"/>
    </row>
    <row r="62" spans="9:22" ht="23.25" customHeight="1" x14ac:dyDescent="0.25">
      <c r="I62" s="157"/>
      <c r="N62" s="157"/>
      <c r="O62" s="157"/>
      <c r="P62" s="157"/>
      <c r="Q62" s="157"/>
      <c r="R62" s="157"/>
      <c r="S62" s="157"/>
      <c r="T62" s="157"/>
      <c r="U62" s="157"/>
      <c r="V62" s="157"/>
    </row>
    <row r="63" spans="9:22" ht="23.25" customHeight="1" x14ac:dyDescent="0.25">
      <c r="I63" s="157"/>
      <c r="J63" s="24"/>
      <c r="K63" s="24"/>
      <c r="L63" s="24"/>
      <c r="M63" s="24"/>
    </row>
    <row r="64" spans="9:22" ht="23.25" customHeight="1" x14ac:dyDescent="0.35">
      <c r="I64" s="157"/>
      <c r="J64" s="131"/>
      <c r="K64" s="131"/>
      <c r="L64" s="131"/>
      <c r="M64" s="131"/>
    </row>
    <row r="65" ht="23.25" customHeight="1" x14ac:dyDescent="0.25"/>
    <row r="66" ht="23.25" customHeight="1" x14ac:dyDescent="0.25"/>
    <row r="67" ht="23.25" customHeight="1" x14ac:dyDescent="0.25"/>
    <row r="68" ht="23.25" customHeight="1" x14ac:dyDescent="0.25"/>
    <row r="69" ht="23.25" customHeight="1" x14ac:dyDescent="0.25"/>
    <row r="70" ht="23.25" customHeight="1" x14ac:dyDescent="0.25"/>
    <row r="71" ht="23.25" customHeight="1" x14ac:dyDescent="0.25"/>
    <row r="72" ht="23.25" customHeight="1" x14ac:dyDescent="0.25"/>
    <row r="73" ht="23.25" customHeight="1" x14ac:dyDescent="0.25"/>
    <row r="74" ht="23.25" customHeight="1" x14ac:dyDescent="0.25"/>
    <row r="75" ht="23.25" customHeight="1" x14ac:dyDescent="0.25"/>
    <row r="76" ht="23.25" customHeight="1" x14ac:dyDescent="0.25"/>
    <row r="77" ht="23.25" customHeight="1" x14ac:dyDescent="0.25"/>
    <row r="78" ht="23.25" customHeight="1" x14ac:dyDescent="0.25"/>
    <row r="79" ht="23.25" customHeight="1" x14ac:dyDescent="0.25"/>
    <row r="80" ht="23.25" customHeight="1" x14ac:dyDescent="0.25"/>
    <row r="81" ht="23.25" customHeight="1" x14ac:dyDescent="0.25"/>
    <row r="82" ht="23.25" customHeight="1" x14ac:dyDescent="0.25"/>
    <row r="83" ht="23.25" customHeight="1" x14ac:dyDescent="0.25"/>
    <row r="84" ht="23.25" customHeight="1" x14ac:dyDescent="0.25"/>
    <row r="85" ht="23.25" customHeight="1" x14ac:dyDescent="0.25"/>
    <row r="86" ht="23.25" customHeight="1" x14ac:dyDescent="0.25"/>
    <row r="87" ht="23.25" customHeight="1" x14ac:dyDescent="0.25"/>
    <row r="88" ht="23.25" customHeight="1" x14ac:dyDescent="0.25"/>
    <row r="89" ht="23.25" customHeight="1" x14ac:dyDescent="0.25"/>
    <row r="90" ht="23.25" customHeight="1" x14ac:dyDescent="0.25"/>
    <row r="91" ht="23.25" customHeight="1" x14ac:dyDescent="0.25"/>
    <row r="92" ht="23.25" customHeight="1" x14ac:dyDescent="0.25"/>
    <row r="93" ht="23.25" customHeight="1" x14ac:dyDescent="0.25"/>
    <row r="94" ht="23.25" customHeight="1" x14ac:dyDescent="0.25"/>
    <row r="95" ht="23.25" customHeight="1" x14ac:dyDescent="0.25"/>
    <row r="96" ht="23.25" customHeight="1" x14ac:dyDescent="0.25"/>
    <row r="97" ht="23.25" customHeight="1" x14ac:dyDescent="0.25"/>
    <row r="98" ht="23.25" customHeight="1" x14ac:dyDescent="0.25"/>
    <row r="99" ht="23.25" customHeight="1" x14ac:dyDescent="0.25"/>
    <row r="100" ht="23.25" customHeight="1" x14ac:dyDescent="0.25"/>
    <row r="101" ht="23.25" customHeight="1" x14ac:dyDescent="0.25"/>
    <row r="102" ht="23.25" customHeight="1" x14ac:dyDescent="0.25"/>
    <row r="103" ht="23.25" customHeight="1" x14ac:dyDescent="0.25"/>
    <row r="104" ht="23.25" customHeight="1" x14ac:dyDescent="0.25"/>
    <row r="105" ht="23.25" customHeight="1" x14ac:dyDescent="0.25"/>
    <row r="106" ht="23.25" customHeight="1" x14ac:dyDescent="0.25"/>
    <row r="107" ht="23.25" customHeight="1" x14ac:dyDescent="0.25"/>
    <row r="108" ht="23.25" customHeight="1" x14ac:dyDescent="0.25"/>
    <row r="109" ht="23.25" customHeight="1" x14ac:dyDescent="0.25"/>
    <row r="110" ht="23.25" customHeight="1" x14ac:dyDescent="0.25"/>
    <row r="111" ht="23.25" customHeight="1" x14ac:dyDescent="0.25"/>
    <row r="112" ht="23.25" customHeight="1" x14ac:dyDescent="0.25"/>
    <row r="113" ht="23.25" customHeight="1" x14ac:dyDescent="0.25"/>
    <row r="114" ht="23.25" customHeight="1" x14ac:dyDescent="0.25"/>
    <row r="115" ht="23.25" customHeight="1" x14ac:dyDescent="0.25"/>
    <row r="116" ht="23.25" customHeight="1" x14ac:dyDescent="0.25"/>
    <row r="117" ht="23.25" customHeight="1" x14ac:dyDescent="0.25"/>
    <row r="118" ht="23.25" customHeight="1" x14ac:dyDescent="0.25"/>
    <row r="119" ht="23.25" customHeight="1" x14ac:dyDescent="0.25"/>
    <row r="120" ht="23.25" customHeight="1" x14ac:dyDescent="0.25"/>
    <row r="121" ht="23.25" customHeight="1" x14ac:dyDescent="0.25"/>
    <row r="122" ht="23.25" customHeight="1" x14ac:dyDescent="0.25"/>
    <row r="123" ht="23.25" customHeight="1" x14ac:dyDescent="0.25"/>
    <row r="124" ht="23.25" customHeight="1" x14ac:dyDescent="0.25"/>
    <row r="125" ht="23.25" customHeight="1" x14ac:dyDescent="0.25"/>
    <row r="126" ht="23.25" customHeight="1" x14ac:dyDescent="0.25"/>
    <row r="127" ht="23.25" customHeight="1" x14ac:dyDescent="0.25"/>
    <row r="128" ht="23.25" customHeight="1" x14ac:dyDescent="0.25"/>
    <row r="129" ht="23.25" customHeight="1" x14ac:dyDescent="0.25"/>
    <row r="130" ht="23.25" customHeight="1" x14ac:dyDescent="0.25"/>
    <row r="131" ht="23.25" customHeight="1" x14ac:dyDescent="0.25"/>
    <row r="132" ht="23.25" customHeight="1" x14ac:dyDescent="0.25"/>
    <row r="133" ht="23.25" customHeight="1" x14ac:dyDescent="0.25"/>
    <row r="134" ht="23.25" customHeight="1" x14ac:dyDescent="0.25"/>
    <row r="135" ht="23.25" customHeight="1" x14ac:dyDescent="0.25"/>
    <row r="136" ht="23.25" customHeight="1" x14ac:dyDescent="0.25"/>
    <row r="137" ht="23.25" customHeight="1" x14ac:dyDescent="0.25"/>
    <row r="138" ht="23.25" customHeight="1" x14ac:dyDescent="0.25"/>
    <row r="139" ht="23.25" customHeight="1" x14ac:dyDescent="0.25"/>
    <row r="140" ht="23.25" customHeight="1" x14ac:dyDescent="0.25"/>
    <row r="141" ht="23.25" customHeight="1" x14ac:dyDescent="0.25"/>
    <row r="142" ht="23.25" customHeight="1" x14ac:dyDescent="0.25"/>
    <row r="143" ht="23.25" customHeight="1" x14ac:dyDescent="0.25"/>
    <row r="144" ht="23.25" customHeight="1" x14ac:dyDescent="0.25"/>
    <row r="145" ht="23.25" customHeight="1" x14ac:dyDescent="0.25"/>
    <row r="146" ht="23.25" customHeight="1" x14ac:dyDescent="0.25"/>
    <row r="147" ht="23.25" customHeight="1" x14ac:dyDescent="0.25"/>
    <row r="148" ht="23.25" customHeight="1" x14ac:dyDescent="0.25"/>
    <row r="149" ht="23.25" customHeight="1" x14ac:dyDescent="0.25"/>
    <row r="150" ht="23.25" customHeight="1" x14ac:dyDescent="0.25"/>
    <row r="151" ht="23.25" customHeight="1" x14ac:dyDescent="0.25"/>
    <row r="152" ht="23.25" customHeight="1" x14ac:dyDescent="0.25"/>
    <row r="153" ht="23.25" customHeight="1" x14ac:dyDescent="0.25"/>
    <row r="154" ht="23.25" customHeight="1" x14ac:dyDescent="0.25"/>
    <row r="155" ht="23.25" customHeight="1" x14ac:dyDescent="0.25"/>
    <row r="156" ht="23.25" customHeight="1" x14ac:dyDescent="0.25"/>
    <row r="157" ht="23.25" customHeight="1" x14ac:dyDescent="0.25"/>
    <row r="158" ht="23.25" customHeight="1" x14ac:dyDescent="0.25"/>
    <row r="159" ht="23.25" customHeight="1" x14ac:dyDescent="0.25"/>
    <row r="160" ht="23.25" customHeight="1" x14ac:dyDescent="0.25"/>
    <row r="161" ht="23.25" customHeight="1" x14ac:dyDescent="0.25"/>
  </sheetData>
  <sheetProtection algorithmName="SHA-512" hashValue="oaZcMjJbEB9hJ475Dirf+gczM/aJ6uu600m5TLswcJ9G19GgfnDsXt9sSbbw5ZHawkzSfEQKbLvkkuMdzLIHzQ==" saltValue="Ielk2zURljvQtCCr62Y4jA==" spinCount="100000" sheet="1" objects="1" scenarios="1"/>
  <mergeCells count="11">
    <mergeCell ref="J50:L50"/>
    <mergeCell ref="J47:L47"/>
    <mergeCell ref="O7:T7"/>
    <mergeCell ref="K34:L34"/>
    <mergeCell ref="M34:N34"/>
    <mergeCell ref="O34:T34"/>
    <mergeCell ref="J20:L20"/>
    <mergeCell ref="J23:L23"/>
    <mergeCell ref="J19:L19"/>
    <mergeCell ref="K7:L7"/>
    <mergeCell ref="M7:N7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45"/>
  <sheetViews>
    <sheetView zoomScaleNormal="100" workbookViewId="0">
      <selection activeCell="F16" sqref="F16"/>
    </sheetView>
  </sheetViews>
  <sheetFormatPr defaultRowHeight="15" x14ac:dyDescent="0.25"/>
  <cols>
    <col min="1" max="7" width="14.28515625" customWidth="1"/>
    <col min="8" max="8" width="19.5703125" customWidth="1"/>
    <col min="9" max="26" width="14.28515625" customWidth="1"/>
  </cols>
  <sheetData>
    <row r="2" spans="1:22" ht="34.5" customHeight="1" x14ac:dyDescent="0.25">
      <c r="A2" s="176" t="s">
        <v>77</v>
      </c>
      <c r="B2" s="177" t="s">
        <v>80</v>
      </c>
      <c r="C2" s="127" t="s">
        <v>79</v>
      </c>
      <c r="D2" s="127" t="s">
        <v>78</v>
      </c>
      <c r="E2" s="89" t="s">
        <v>47</v>
      </c>
      <c r="F2" s="89" t="s">
        <v>48</v>
      </c>
      <c r="G2" s="89" t="s">
        <v>44</v>
      </c>
    </row>
    <row r="3" spans="1:22" ht="23.25" customHeight="1" thickBot="1" x14ac:dyDescent="0.3">
      <c r="A3" s="125" t="s">
        <v>40</v>
      </c>
      <c r="B3" s="125" t="s">
        <v>69</v>
      </c>
      <c r="C3" s="126" t="s">
        <v>34</v>
      </c>
      <c r="D3" s="125" t="s">
        <v>34</v>
      </c>
      <c r="E3" s="94" t="s">
        <v>34</v>
      </c>
      <c r="F3" s="94" t="s">
        <v>34</v>
      </c>
      <c r="G3" s="94" t="s">
        <v>34</v>
      </c>
    </row>
    <row r="4" spans="1:22" ht="23.25" customHeight="1" thickTop="1" thickBot="1" x14ac:dyDescent="0.35">
      <c r="A4" s="98">
        <f>Main!B25</f>
        <v>0.90400000000000003</v>
      </c>
      <c r="B4" s="98">
        <f>Main!$C$25/Main!$D$25*1000</f>
        <v>0.1</v>
      </c>
      <c r="C4" s="99">
        <f>Main!$E$25</f>
        <v>1.9999999999999999E-7</v>
      </c>
      <c r="D4" s="99">
        <f>Main!$F$25</f>
        <v>1E-3</v>
      </c>
      <c r="E4" s="99">
        <f>Main!$G$25</f>
        <v>10</v>
      </c>
      <c r="F4" s="99">
        <f>Main!$H$25</f>
        <v>3</v>
      </c>
      <c r="G4" s="99">
        <f>Main!$I$25</f>
        <v>100</v>
      </c>
    </row>
    <row r="5" spans="1:22" ht="23.25" customHeight="1" thickTop="1" thickBot="1" x14ac:dyDescent="0.3">
      <c r="A5" s="65"/>
      <c r="B5" s="65"/>
      <c r="C5" s="7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ht="23.25" customHeight="1" thickTop="1" thickBot="1" x14ac:dyDescent="0.3">
      <c r="A6" s="23"/>
      <c r="B6" s="23"/>
      <c r="C6" s="64"/>
      <c r="D6" s="2"/>
      <c r="E6" s="2"/>
      <c r="F6" s="2"/>
      <c r="G6" s="2"/>
      <c r="H6" s="2"/>
      <c r="I6" s="2"/>
      <c r="J6" s="74"/>
      <c r="K6" s="75"/>
      <c r="L6" s="75"/>
      <c r="M6" s="75"/>
      <c r="N6" s="75"/>
      <c r="O6" s="75"/>
      <c r="P6" s="75"/>
      <c r="Q6" s="75"/>
      <c r="R6" s="75"/>
      <c r="S6" s="75"/>
      <c r="T6" s="75"/>
      <c r="U6" s="76"/>
      <c r="V6" s="24"/>
    </row>
    <row r="7" spans="1:22" ht="23.25" customHeight="1" thickBot="1" x14ac:dyDescent="0.3">
      <c r="A7" s="2"/>
      <c r="B7" s="2"/>
      <c r="C7" s="2"/>
      <c r="D7" s="2"/>
      <c r="E7" s="2"/>
      <c r="F7" s="2"/>
      <c r="G7" s="2"/>
      <c r="H7" s="2"/>
      <c r="I7" s="2"/>
      <c r="J7" s="77"/>
      <c r="K7" s="241" t="s">
        <v>21</v>
      </c>
      <c r="L7" s="242"/>
      <c r="M7" s="239" t="s">
        <v>24</v>
      </c>
      <c r="N7" s="240"/>
      <c r="O7" s="243" t="s">
        <v>25</v>
      </c>
      <c r="P7" s="244"/>
      <c r="Q7" s="244"/>
      <c r="R7" s="244"/>
      <c r="S7" s="244"/>
      <c r="T7" s="245"/>
      <c r="U7" s="78"/>
      <c r="V7" s="24"/>
    </row>
    <row r="8" spans="1:22" ht="23.25" customHeight="1" thickTop="1" thickBot="1" x14ac:dyDescent="0.3">
      <c r="A8" s="3" t="s">
        <v>0</v>
      </c>
      <c r="B8" s="4" t="s">
        <v>1</v>
      </c>
      <c r="C8" s="5" t="s">
        <v>2</v>
      </c>
      <c r="D8" s="6" t="s">
        <v>3</v>
      </c>
      <c r="E8" s="7" t="s">
        <v>4</v>
      </c>
      <c r="F8" s="17" t="s">
        <v>10</v>
      </c>
      <c r="G8" s="18" t="s">
        <v>11</v>
      </c>
      <c r="H8" s="19" t="s">
        <v>12</v>
      </c>
      <c r="I8" s="2"/>
      <c r="J8" s="77"/>
      <c r="K8" s="55" t="s">
        <v>22</v>
      </c>
      <c r="L8" s="56" t="s">
        <v>23</v>
      </c>
      <c r="M8" s="57" t="s">
        <v>19</v>
      </c>
      <c r="N8" s="56" t="s">
        <v>20</v>
      </c>
      <c r="O8" s="58" t="s">
        <v>1</v>
      </c>
      <c r="P8" s="59" t="s">
        <v>2</v>
      </c>
      <c r="Q8" s="60" t="s">
        <v>3</v>
      </c>
      <c r="R8" s="61" t="s">
        <v>4</v>
      </c>
      <c r="S8" s="62" t="s">
        <v>26</v>
      </c>
      <c r="T8" s="63" t="s">
        <v>74</v>
      </c>
      <c r="U8" s="78"/>
      <c r="V8" s="24"/>
    </row>
    <row r="9" spans="1:22" ht="23.25" customHeight="1" thickBot="1" x14ac:dyDescent="0.3">
      <c r="A9" s="8" t="s">
        <v>5</v>
      </c>
      <c r="B9" s="9">
        <v>1</v>
      </c>
      <c r="C9" s="10">
        <v>0</v>
      </c>
      <c r="D9" s="11">
        <v>0</v>
      </c>
      <c r="E9" s="12">
        <v>-8</v>
      </c>
      <c r="F9" s="1" t="s">
        <v>13</v>
      </c>
      <c r="G9" s="20">
        <v>1</v>
      </c>
      <c r="H9" s="21">
        <v>10</v>
      </c>
      <c r="I9" s="2"/>
      <c r="J9" s="77"/>
      <c r="K9" s="45">
        <v>0</v>
      </c>
      <c r="L9" s="46">
        <v>1.5</v>
      </c>
      <c r="M9" s="47">
        <v>1E-13</v>
      </c>
      <c r="N9" s="48">
        <v>9.9999999999999994E-12</v>
      </c>
      <c r="O9" s="49">
        <v>1</v>
      </c>
      <c r="P9" s="50">
        <v>0</v>
      </c>
      <c r="Q9" s="51">
        <v>0</v>
      </c>
      <c r="R9" s="52">
        <v>-8</v>
      </c>
      <c r="S9" s="53">
        <v>1</v>
      </c>
      <c r="T9" s="54">
        <v>10</v>
      </c>
      <c r="U9" s="78"/>
      <c r="V9" s="24"/>
    </row>
    <row r="10" spans="1:22" ht="23.25" customHeight="1" thickBot="1" x14ac:dyDescent="0.3">
      <c r="A10" s="8" t="s">
        <v>6</v>
      </c>
      <c r="B10" s="9">
        <v>1.5</v>
      </c>
      <c r="C10" s="10">
        <v>0.75</v>
      </c>
      <c r="D10" s="11">
        <v>0</v>
      </c>
      <c r="E10" s="12">
        <v>0</v>
      </c>
      <c r="F10" s="1" t="s">
        <v>14</v>
      </c>
      <c r="G10" s="20" t="s">
        <v>15</v>
      </c>
      <c r="H10" s="21" t="s">
        <v>16</v>
      </c>
      <c r="I10" s="2"/>
      <c r="J10" s="77"/>
      <c r="K10" s="26">
        <v>1.5</v>
      </c>
      <c r="L10" s="39">
        <v>100</v>
      </c>
      <c r="M10" s="37">
        <v>9.9999999999999994E-12</v>
      </c>
      <c r="N10" s="43">
        <v>1.0000000000000001E-9</v>
      </c>
      <c r="O10" s="41">
        <v>1.5</v>
      </c>
      <c r="P10" s="31">
        <v>0.75</v>
      </c>
      <c r="Q10" s="32">
        <v>0</v>
      </c>
      <c r="R10" s="33">
        <v>0</v>
      </c>
      <c r="S10" s="25">
        <f>alpha_c/1.5</f>
        <v>6.6666666666666666E-2</v>
      </c>
      <c r="T10" s="27">
        <f>10^(1+(alpha_c-1.5)/98.5)</f>
        <v>9.678026390533601</v>
      </c>
      <c r="U10" s="78"/>
      <c r="V10" s="24"/>
    </row>
    <row r="11" spans="1:22" ht="23.25" customHeight="1" thickBot="1" x14ac:dyDescent="0.3">
      <c r="A11" s="8" t="s">
        <v>7</v>
      </c>
      <c r="B11" s="9">
        <v>5</v>
      </c>
      <c r="C11" s="10">
        <v>0</v>
      </c>
      <c r="D11" s="11">
        <v>0</v>
      </c>
      <c r="E11" s="12">
        <v>-7</v>
      </c>
      <c r="F11" s="1" t="s">
        <v>17</v>
      </c>
      <c r="G11" s="20" t="s">
        <v>18</v>
      </c>
      <c r="H11" s="21">
        <v>100</v>
      </c>
      <c r="I11" s="2"/>
      <c r="J11" s="77"/>
      <c r="K11" s="26">
        <v>100</v>
      </c>
      <c r="L11" s="39">
        <v>3141</v>
      </c>
      <c r="M11" s="37">
        <v>1.0000000000000001E-9</v>
      </c>
      <c r="N11" s="43">
        <v>1.8E-5</v>
      </c>
      <c r="O11" s="41">
        <v>5</v>
      </c>
      <c r="P11" s="31">
        <v>0</v>
      </c>
      <c r="Q11" s="32">
        <v>0</v>
      </c>
      <c r="R11" s="33">
        <v>-7</v>
      </c>
      <c r="S11" s="25">
        <f>alpha_c^2/150</f>
        <v>6.6666666666666683E-5</v>
      </c>
      <c r="T11" s="27">
        <v>100</v>
      </c>
      <c r="U11" s="78"/>
      <c r="V11" s="24"/>
    </row>
    <row r="12" spans="1:22" ht="23.25" customHeight="1" thickBot="1" x14ac:dyDescent="0.3">
      <c r="A12" s="8" t="s">
        <v>8</v>
      </c>
      <c r="B12" s="9">
        <v>1.8</v>
      </c>
      <c r="C12" s="10">
        <v>0.75</v>
      </c>
      <c r="D12" s="11">
        <v>0</v>
      </c>
      <c r="E12" s="12">
        <v>-3</v>
      </c>
      <c r="F12" s="2"/>
      <c r="G12" s="2"/>
      <c r="H12" s="2"/>
      <c r="I12" s="2"/>
      <c r="J12" s="77"/>
      <c r="K12" s="26"/>
      <c r="L12" s="39"/>
      <c r="M12" s="37">
        <v>1.8E-5</v>
      </c>
      <c r="N12" s="43">
        <f>Q17</f>
        <v>10</v>
      </c>
      <c r="O12" s="41">
        <v>1.8</v>
      </c>
      <c r="P12" s="31">
        <v>0.75</v>
      </c>
      <c r="Q12" s="32">
        <v>0</v>
      </c>
      <c r="R12" s="33">
        <v>-3</v>
      </c>
      <c r="S12" s="22"/>
      <c r="T12" s="34"/>
      <c r="U12" s="78"/>
      <c r="V12" s="24"/>
    </row>
    <row r="13" spans="1:22" ht="23.25" customHeight="1" x14ac:dyDescent="0.25">
      <c r="A13" s="118" t="s">
        <v>9</v>
      </c>
      <c r="B13" s="119">
        <v>1.8</v>
      </c>
      <c r="C13" s="120">
        <v>0</v>
      </c>
      <c r="D13" s="121">
        <v>-0.25</v>
      </c>
      <c r="E13" s="122">
        <v>-3</v>
      </c>
      <c r="F13" s="2"/>
      <c r="G13" s="2"/>
      <c r="H13" s="2"/>
      <c r="I13" s="2"/>
      <c r="J13" s="77"/>
      <c r="K13" s="26"/>
      <c r="L13" s="39"/>
      <c r="M13" s="37">
        <f>Q17</f>
        <v>10</v>
      </c>
      <c r="N13" s="43">
        <v>30000</v>
      </c>
      <c r="O13" s="41">
        <v>1.8</v>
      </c>
      <c r="P13" s="31">
        <v>0</v>
      </c>
      <c r="Q13" s="32">
        <v>-0.25</v>
      </c>
      <c r="R13" s="33">
        <v>-3</v>
      </c>
      <c r="S13" s="22"/>
      <c r="T13" s="34"/>
      <c r="U13" s="78"/>
      <c r="V13" s="24"/>
    </row>
    <row r="14" spans="1:22" ht="23.25" customHeight="1" thickBot="1" x14ac:dyDescent="0.3">
      <c r="A14" s="116"/>
      <c r="B14" s="116"/>
      <c r="C14" s="116"/>
      <c r="D14" s="116"/>
      <c r="E14" s="116"/>
      <c r="F14" s="2"/>
      <c r="G14" s="2"/>
      <c r="H14" s="2"/>
      <c r="I14" s="2"/>
      <c r="J14" s="77"/>
      <c r="K14" s="28"/>
      <c r="L14" s="40"/>
      <c r="M14" s="38"/>
      <c r="N14" s="44"/>
      <c r="O14" s="42"/>
      <c r="P14" s="35"/>
      <c r="Q14" s="35"/>
      <c r="R14" s="35"/>
      <c r="S14" s="29"/>
      <c r="T14" s="36"/>
      <c r="U14" s="78"/>
      <c r="V14" s="24"/>
    </row>
    <row r="15" spans="1:22" ht="23.25" customHeight="1" x14ac:dyDescent="0.25">
      <c r="A15" s="30"/>
      <c r="B15" s="117"/>
      <c r="C15" s="30"/>
      <c r="D15" s="30"/>
      <c r="E15" s="30"/>
      <c r="F15" s="2"/>
      <c r="G15" s="2"/>
      <c r="H15" s="2"/>
      <c r="I15" s="2"/>
      <c r="J15" s="77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78"/>
      <c r="V15" s="24"/>
    </row>
    <row r="16" spans="1:22" ht="23.25" customHeight="1" x14ac:dyDescent="0.35">
      <c r="A16" s="72" t="s">
        <v>30</v>
      </c>
      <c r="B16" s="66"/>
      <c r="C16" s="67"/>
      <c r="D16" s="68"/>
      <c r="E16" s="69"/>
      <c r="F16" s="70"/>
      <c r="G16" s="24"/>
      <c r="H16" s="24"/>
      <c r="I16" s="2"/>
      <c r="J16" s="77"/>
      <c r="L16" s="22" t="s">
        <v>1</v>
      </c>
      <c r="M16" s="22" t="s">
        <v>2</v>
      </c>
      <c r="N16" s="22" t="s">
        <v>3</v>
      </c>
      <c r="O16" s="22" t="s">
        <v>4</v>
      </c>
      <c r="P16" s="22" t="s">
        <v>29</v>
      </c>
      <c r="Q16" s="22" t="s">
        <v>70</v>
      </c>
      <c r="R16" s="143" t="s">
        <v>97</v>
      </c>
      <c r="S16" s="22" t="s">
        <v>99</v>
      </c>
      <c r="T16" s="143" t="s">
        <v>98</v>
      </c>
      <c r="U16" s="211"/>
      <c r="V16" s="24"/>
    </row>
    <row r="17" spans="1:22" ht="23.25" customHeight="1" x14ac:dyDescent="0.25">
      <c r="A17" s="24"/>
      <c r="B17" s="24"/>
      <c r="C17" s="24"/>
      <c r="D17" s="24"/>
      <c r="E17" s="24"/>
      <c r="F17" s="24"/>
      <c r="G17" s="24"/>
      <c r="H17" s="24"/>
      <c r="I17" s="2"/>
      <c r="J17" s="77"/>
      <c r="K17" s="196" t="s">
        <v>91</v>
      </c>
      <c r="L17" s="22">
        <f>IF(AND(tsp_c&gt;=$M$9,tsp_c&lt;$N$9),$O$9,IF(AND(tsp_c&gt;=$M$10,tsp_c&lt;$N$10),$O$10,IF(AND(tsp_c&gt;=$M$11,tsp_c&lt;$N$11),$O$11,IF(AND(tsp_c&gt;=$M$12,tsp_c&lt;$N$12),$O$12,IF(AND(tsp_c&gt;=$M$13,tsp_c&lt;$N$13),$O$13,"tsp_c out of range10^-13 - 3*10^4sec")))))</f>
        <v>5</v>
      </c>
      <c r="M17" s="22">
        <f>IF(AND(tsp_c&gt;=$M$9,tsp_c&lt;$N$9),$P$9,IF(AND(tsp_c&gt;=$M$10,tsp_c&lt;$N$10),$P$10,IF(AND(tsp_c&gt;=$M$11,tsp_c&lt;$N$11),$P$11,IF(AND(tsp_c&gt;=$M$12,tsp_c&lt;$N$12),$P$12,IF(AND(tsp_c&gt;=$M$13,tsp_c&lt;$N$13),$P$13,"t out of range10^-13 - 3*10^4sec")))))</f>
        <v>0</v>
      </c>
      <c r="N17" s="22">
        <f>IF(AND(tsp_c&gt;=$M$9,tsp_c&lt;$N$9),$Q$9,IF(AND(tsp_c&gt;=$M$10,tsp_c&lt;$N$10),$Q$10,IF(AND(tsp_c&gt;=$M$11,tsp_c&lt;$N$11),$Q$11,IF(AND(tsp_c&gt;=$M$12,tsp_c&lt;$N$12),$Q$12,IF(AND(tsp_c&gt;=$M$13,tsp_c&lt;$N$13),$Q$13,"t out of range10^-13 - 3*10^4sec")))))</f>
        <v>0</v>
      </c>
      <c r="O17" s="22">
        <f>IF(AND(tsp_c&gt;=$M$9,tsp_c&lt;$N$9),$R$9,IF(AND(tsp_c&gt;=$M$10,tsp_c&lt;$N$10),$R$10,IF(AND(tsp_c&gt;=$M$11,tsp_c&lt;$N$11),$R$11,IF(AND(tsp_c&gt;=$M$12,tsp_c&lt;$N$12),$R$12,IF(AND(tsp_c&gt;=$M$13,tsp_c&lt;$N$13),$R$13,"t out of range10^-13 - 3*10^4sec")))))</f>
        <v>-7</v>
      </c>
      <c r="P17" s="64">
        <f>IF(AND(alpha_c&gt;=$K$9,alpha_c&lt;$L$9),$S$9,IF(AND(alpha_c&gt;=$K$10,alpha_c&lt;$L$10),$S$10,IF(AND(alpha_c&gt;=$K$11,alpha_c&lt;$L$11),$S$11," out of range 0 - PI radian")))</f>
        <v>1</v>
      </c>
      <c r="Q17" s="64">
        <f>IF(AND(alpha_c&gt;=$K$9,alpha_c&lt;$L$9),$T$9,IF(AND(alpha_c&gt;=$K$10,alpha_c&lt;$L$10),$T$10,IF(AND(alpha_c&gt;=$K$11,alpha_c&lt;$L$11),$T$11," out of range 0 - PI radian")))</f>
        <v>10</v>
      </c>
      <c r="R17" s="203">
        <f>tsp_c</f>
        <v>1.9999999999999999E-7</v>
      </c>
      <c r="S17" s="203"/>
      <c r="T17" s="212"/>
      <c r="U17" s="78"/>
      <c r="V17" s="24"/>
    </row>
    <row r="18" spans="1:22" ht="23.25" customHeight="1" x14ac:dyDescent="0.25">
      <c r="A18" s="24"/>
      <c r="B18" s="24"/>
      <c r="C18" s="24"/>
      <c r="D18" s="24"/>
      <c r="E18" s="24"/>
      <c r="F18" s="24"/>
      <c r="G18" s="24"/>
      <c r="H18" s="24"/>
      <c r="I18" s="2"/>
      <c r="J18" s="77"/>
      <c r="K18" s="195" t="s">
        <v>90</v>
      </c>
      <c r="L18" s="22">
        <f>IF(AND($E$4&gt;=$M$9,$E$4&lt;$N$9),$O$9,IF(AND($E$4&gt;=$M$10,$E$4&lt;$N$10),$O$10,IF(AND($E$4&gt;=$M$11,$E$4&lt;$N$11),$O$11,IF(AND($E$4&gt;=$M$12,$E$4&lt;$N$12),$O$12,IF(AND($E$4&gt;=$M$13,$E$4&lt;$N$13),$O$13,"exposure duration is out of range10^-13 - 3*10^4sec")))))</f>
        <v>1.8</v>
      </c>
      <c r="M18" s="142">
        <f>IF(AND($E$4&gt;$M$9,$E$4&lt;=$N$9),$P$9,IF(AND($E$4&gt;$M$10,$E$4&lt;=$N$10),$P$10,IF(AND($E$4&gt;$M$11,$E$4&lt;=$N$11),$P$11,IF(AND($E$4&gt;$M$12,$E$4&lt;=$N$12),$P$12,IF(AND($E$4&gt;$M$13,$E$4&lt;=$N$13),$P$13,"t out of range10^-13 - 3*10^4sec")))))</f>
        <v>0.75</v>
      </c>
      <c r="N18" s="143">
        <f>IF(AND($E$4&gt;=$M$9,$E$4&lt;=$N$9),$Q$9,IF(AND($E$4&gt;$M$10,$E$4&lt;=$N$10),$Q$10,IF(AND($E$4&gt;$M$11,$E$4&lt;=$N$11),$Q$11,IF(AND($E$4&gt;$M$12,$E$4&lt;=$N$12),$Q$12,IF(AND($E$4&gt;$M$13,$E$4&lt;=$N$13),$Q$13,"t out of range10^-13 - 3*10^4sec")))))</f>
        <v>0</v>
      </c>
      <c r="O18" s="22">
        <f>IF(AND($E$4&gt;=$M$9,$E$4&lt;$N$9),$R$9,IF(AND($E$4&gt;=$M$10,$E$4&lt;$N$10),$R$10,IF(AND($E$4&gt;=$M$11,$E$4&lt;$N$11),$R$11,IF(AND($E$4&gt;=$M$12,$E$4&lt;$N$12),$R$12,IF(AND($E$4&gt;=$M$13,$E$4&lt;$N$13),$R$13,"t out of range10^-13 - 3*10^4sec")))))</f>
        <v>-3</v>
      </c>
      <c r="P18" s="64">
        <f>IF(AND(alpha_c&gt;=$K$9,alpha_c&lt;$L$9),$S$9,IF(AND(alpha_c&gt;=$K$10,alpha_c&lt;$L$10),$S$10,IF(AND(alpha_c&gt;=$K$11,alpha_c&lt;$L$11),$S$11," out of range 0 - PI radian")))</f>
        <v>1</v>
      </c>
      <c r="Q18" s="64">
        <f>IF(AND(alpha_c&gt;=$K$9,alpha_c&lt;$L$9),$T$9,IF(AND(alpha_c&gt;=$K$10,alpha_c&lt;$L$10),$T$10,IF(AND(alpha_c&gt;=$K$11,alpha_c&lt;$L$11),$T$11," out of range 0 - PI radian")))</f>
        <v>10</v>
      </c>
      <c r="R18" s="143">
        <f>E4</f>
        <v>10</v>
      </c>
      <c r="S18" s="204">
        <f>$E$4/(tsp_c+$D$4)</f>
        <v>9998.0003999200162</v>
      </c>
      <c r="T18" s="212"/>
      <c r="U18" s="78"/>
      <c r="V18" s="24"/>
    </row>
    <row r="19" spans="1:22" ht="23.25" customHeight="1" x14ac:dyDescent="0.35">
      <c r="A19" s="114"/>
      <c r="B19" s="2"/>
      <c r="C19" s="2"/>
      <c r="D19" s="2"/>
      <c r="E19" s="2"/>
      <c r="F19" s="2"/>
      <c r="G19" s="2"/>
      <c r="H19" s="2"/>
      <c r="I19" s="78"/>
      <c r="J19" s="132"/>
      <c r="K19" s="195" t="s">
        <v>96</v>
      </c>
      <c r="L19" s="22">
        <f>IF(AND(T_seq_c&gt;=$M$9,T_seq_c&lt;$N$9),$O$9,IF(AND(T_seq_c&gt;=$M$10,T_seq_c&lt;$N$10),$O$10,IF(AND(T_seq_c&gt;=$M$11,T_seq_c&lt;$N$11),$O$11,IF(AND(T_seq_c&gt;=$M$12,T_seq_c&lt;$N$12),$O$12,IF(AND(T_seq_c&gt;=$M$13,T_seq_c&lt;$N$13),$O$13,"exposure duration is out of range10^-13 - 3*10^4sec")))))</f>
        <v>1.8</v>
      </c>
      <c r="M19" s="142">
        <f>IF(AND(T_seq_c&gt;$M$9,T_seq_c&lt;=$N$9),$P$9,IF(AND(T_seq_c&gt;$M$10,T_seq_c&lt;=$N$10),$P$10,IF(AND(T_seq_c&gt;$M$11,T_seq_c&lt;=$N$11),$P$11,IF(AND(T_seq_c&gt;$M$12,T_seq_c&lt;=$N$12),$P$12,IF(AND(T_seq_c&gt;$M$13,T_seq_c&lt;=$N$13),$P$13,"t out of range10^-13 - 3*10^4sec")))))</f>
        <v>0</v>
      </c>
      <c r="N19" s="143">
        <f>IF(AND(T_seq_c&gt;=$M$9,T_seq_c&lt;=$N$9),$Q$9,IF(AND(T_seq_c&gt;$M$10,T_seq_c&lt;=$N$10),$Q$10,IF(AND(T_seq_c&gt;$M$11,T_seq_c&lt;=$N$11),$Q$11,IF(AND(T_seq_c&gt;$M$12,T_seq_c&lt;=$N$12),$Q$12,IF(AND(T_seq_c&gt;$M$13,T_seq_c&lt;=$N$13),$Q$13,"t out of range10^-13 - 3*10^4sec")))))</f>
        <v>-0.25</v>
      </c>
      <c r="O19" s="22">
        <f>IF(AND(T_seq_c&gt;=$M$9,T_seq_c&lt;$N$9),$R$9,IF(AND(T_seq_c&gt;=$M$10,T_seq_c&lt;$N$10),$R$10,IF(AND(T_seq_c&gt;=$M$11,T_seq_c&lt;$N$11),$R$11,IF(AND(T_seq_c&gt;=$M$12,T_seq_c&lt;$N$12),$R$12,IF(AND(T_seq_c&gt;=$M$13,T_seq_c&lt;$N$13),$R$13,"t out of range10^-13 - 3*10^4sec")))))</f>
        <v>-3</v>
      </c>
      <c r="P19" s="64">
        <f>IF(AND(Q19&gt;=$K$9,alpha_c&lt;$L$9),$S$9,IF(AND(alpha_c&gt;=$K$10,alpha_c&lt;$L$10),$S$10,IF(AND(alpha_c&gt;=$K$11,alpha_c&lt;$L$11),$S$11," out of range 0 - PI radian")))</f>
        <v>1</v>
      </c>
      <c r="Q19" s="64">
        <f>IF(AND(alpha_c&gt;=$K$9,alpha_c&lt;$L$9),$T$9,IF(AND(alpha_c&gt;=$K$10,alpha_c&lt;$L$10),$T$10,IF(AND(alpha_c&gt;=$K$11,alpha_c&lt;$L$11),$T$11," out of range 0 - PI radian")))</f>
        <v>10</v>
      </c>
      <c r="R19" s="143">
        <f>T_seq_c</f>
        <v>100</v>
      </c>
      <c r="S19" s="204">
        <f>T_seq_c/(T_2_c+F4)</f>
        <v>7.6923076923076925</v>
      </c>
      <c r="T19" s="22">
        <f>S18*S19</f>
        <v>76907.695384000122</v>
      </c>
      <c r="U19" s="78"/>
      <c r="V19" s="24"/>
    </row>
    <row r="20" spans="1:22" ht="23.25" customHeight="1" x14ac:dyDescent="0.25">
      <c r="A20" s="73"/>
      <c r="B20" s="2"/>
      <c r="C20" s="2"/>
      <c r="D20" s="2"/>
      <c r="E20" s="2"/>
      <c r="F20" s="30"/>
      <c r="G20" s="2"/>
      <c r="H20" s="2"/>
      <c r="I20" s="78"/>
      <c r="J20" s="88"/>
      <c r="K20" s="200"/>
      <c r="M20" s="24"/>
      <c r="N20" s="30"/>
      <c r="O20" s="210"/>
      <c r="P20" s="30"/>
      <c r="Q20" s="30"/>
      <c r="R20" s="30"/>
      <c r="S20" s="210"/>
      <c r="T20" s="210"/>
      <c r="U20" s="78"/>
      <c r="V20" s="24"/>
    </row>
    <row r="21" spans="1:22" ht="23.25" customHeight="1" x14ac:dyDescent="0.25">
      <c r="A21" s="2"/>
      <c r="B21" s="30"/>
      <c r="C21" s="2"/>
      <c r="D21" s="2"/>
      <c r="E21" s="2"/>
      <c r="F21" s="30"/>
      <c r="G21" s="2"/>
      <c r="H21" s="2"/>
      <c r="I21" s="78"/>
      <c r="J21" s="88"/>
      <c r="K21" s="200"/>
      <c r="M21" s="24"/>
      <c r="N21" s="2"/>
      <c r="O21" s="2"/>
      <c r="P21" s="2"/>
      <c r="Q21" s="2"/>
      <c r="R21" s="2"/>
      <c r="S21" s="2"/>
      <c r="T21" s="2"/>
      <c r="U21" s="78"/>
      <c r="V21" s="24"/>
    </row>
    <row r="22" spans="1:22" ht="23.25" customHeight="1" x14ac:dyDescent="0.35">
      <c r="A22" s="2"/>
      <c r="B22" s="2"/>
      <c r="C22" s="2"/>
      <c r="D22" s="2"/>
      <c r="E22" s="2"/>
      <c r="F22" s="2"/>
      <c r="G22" s="2"/>
      <c r="H22" s="2"/>
      <c r="I22" s="78"/>
      <c r="M22" s="123"/>
      <c r="N22" s="2"/>
      <c r="O22" s="2"/>
      <c r="P22" s="2"/>
      <c r="Q22" s="2"/>
      <c r="R22" s="2"/>
      <c r="S22" s="2"/>
      <c r="T22" s="2"/>
      <c r="U22" s="78"/>
      <c r="V22" s="24"/>
    </row>
    <row r="23" spans="1:22" ht="23.25" customHeight="1" x14ac:dyDescent="0.35">
      <c r="A23" s="2"/>
      <c r="B23" s="2"/>
      <c r="C23" s="2"/>
      <c r="D23" s="2"/>
      <c r="E23" s="2"/>
      <c r="F23" s="2"/>
      <c r="G23" s="2"/>
      <c r="H23" s="2"/>
      <c r="I23" s="78"/>
      <c r="J23" s="254" t="s">
        <v>59</v>
      </c>
      <c r="K23" s="251"/>
      <c r="L23" s="251"/>
      <c r="M23" s="157"/>
      <c r="N23" s="30"/>
      <c r="O23" s="30"/>
      <c r="P23" s="30"/>
      <c r="Q23" s="30"/>
      <c r="R23" s="30"/>
      <c r="S23" s="30"/>
      <c r="T23" s="30"/>
      <c r="U23" s="78"/>
      <c r="V23" s="24"/>
    </row>
    <row r="24" spans="1:22" ht="23.25" customHeight="1" x14ac:dyDescent="0.35">
      <c r="G24" s="88"/>
      <c r="I24" s="149"/>
      <c r="J24" s="198">
        <f>$L$17*$P$17*($R$17^$M$17)*($Q$17^$N$17)*10^(2*(lambda_b-0.7)+$O$17)</f>
        <v>1.279292943452822E-6</v>
      </c>
      <c r="K24" s="152" t="str">
        <f>IF(T_2_c&gt;=100, "  Wt/cm2","  J/cm2")</f>
        <v xml:space="preserve">  J/cm2</v>
      </c>
      <c r="L24" s="79"/>
      <c r="N24" s="148"/>
      <c r="O24" s="148"/>
      <c r="P24" s="148"/>
      <c r="Q24" s="148"/>
      <c r="R24" s="148"/>
      <c r="S24" s="148"/>
      <c r="T24" s="148"/>
      <c r="U24" s="149"/>
      <c r="V24" s="157"/>
    </row>
    <row r="25" spans="1:22" ht="23.25" customHeight="1" x14ac:dyDescent="0.25">
      <c r="I25" s="149"/>
      <c r="J25" s="2"/>
      <c r="K25" s="2"/>
      <c r="L25" s="2"/>
      <c r="N25" s="148"/>
      <c r="O25" s="148"/>
      <c r="P25" s="148"/>
      <c r="Q25" s="148"/>
      <c r="R25" s="148"/>
      <c r="S25" s="148"/>
      <c r="T25" s="148"/>
      <c r="U25" s="149"/>
      <c r="V25" s="157"/>
    </row>
    <row r="26" spans="1:22" ht="23.25" customHeight="1" x14ac:dyDescent="0.35">
      <c r="I26" s="78"/>
      <c r="J26" s="254" t="s">
        <v>81</v>
      </c>
      <c r="K26" s="251"/>
      <c r="L26" s="251"/>
      <c r="M26" s="251"/>
      <c r="N26" s="30"/>
      <c r="O26" s="30"/>
      <c r="P26" s="30"/>
      <c r="Q26" s="30"/>
      <c r="R26" s="30"/>
      <c r="S26" s="30"/>
      <c r="T26" s="30"/>
      <c r="U26" s="78"/>
      <c r="V26" s="24"/>
    </row>
    <row r="27" spans="1:22" ht="23.25" customHeight="1" x14ac:dyDescent="0.35">
      <c r="I27" s="78"/>
      <c r="J27" s="198">
        <f>$L$18*$P$18*($R$18^$M$18)*($Q$18^$N$18)*10^(2*(lambda_b-0.7)+$O$18)/$S$18</f>
        <v>2.5903554083486953E-6</v>
      </c>
      <c r="K27" s="152" t="str">
        <f>IF(T_2_c&gt;=100, "  Wt/cm2","  J/cm2")</f>
        <v xml:space="preserve">  J/cm2</v>
      </c>
      <c r="L27" s="30"/>
      <c r="M27" s="148"/>
      <c r="N27" s="30"/>
      <c r="O27" s="30"/>
      <c r="P27" s="30"/>
      <c r="Q27" s="30"/>
      <c r="R27" s="30"/>
      <c r="S27" s="30"/>
      <c r="T27" s="30"/>
      <c r="U27" s="78"/>
      <c r="V27" s="24"/>
    </row>
    <row r="28" spans="1:22" ht="23.25" customHeight="1" x14ac:dyDescent="0.25">
      <c r="I28" s="78"/>
      <c r="J28" s="148"/>
      <c r="K28" s="148"/>
      <c r="L28" s="148"/>
      <c r="M28" s="148"/>
      <c r="N28" s="140"/>
      <c r="O28" s="140"/>
      <c r="P28" s="140"/>
      <c r="Q28" s="140"/>
      <c r="R28" s="140"/>
      <c r="S28" s="140"/>
      <c r="T28" s="140"/>
      <c r="U28" s="78"/>
      <c r="V28" s="24"/>
    </row>
    <row r="29" spans="1:22" ht="23.25" customHeight="1" x14ac:dyDescent="0.35">
      <c r="I29" s="78"/>
      <c r="J29" s="251" t="s">
        <v>82</v>
      </c>
      <c r="K29" s="251"/>
      <c r="L29" s="251"/>
      <c r="M29" s="251"/>
      <c r="N29" s="140"/>
      <c r="O29" s="140"/>
      <c r="P29" s="140"/>
      <c r="Q29" s="140"/>
      <c r="R29" s="140"/>
      <c r="S29" s="140"/>
      <c r="T29" s="140"/>
      <c r="U29" s="78"/>
      <c r="V29" s="24"/>
    </row>
    <row r="30" spans="1:22" ht="23.25" customHeight="1" x14ac:dyDescent="0.35">
      <c r="J30" s="151">
        <f>$J$24*$T$19^-0.25</f>
        <v>7.6820575254971929E-8</v>
      </c>
      <c r="K30" s="152" t="str">
        <f>IF(T_2_c&gt;=100, "  Wt/cm2","  J/cm2")</f>
        <v xml:space="preserve">  J/cm2</v>
      </c>
      <c r="L30" s="30"/>
      <c r="M30" s="148"/>
      <c r="N30" s="133"/>
      <c r="O30" s="134"/>
      <c r="P30" s="135"/>
      <c r="Q30" s="136"/>
      <c r="R30" s="137"/>
      <c r="S30" s="138"/>
      <c r="T30" s="139"/>
      <c r="U30" s="78"/>
      <c r="V30" s="157"/>
    </row>
    <row r="31" spans="1:22" ht="23.25" customHeight="1" x14ac:dyDescent="0.25">
      <c r="J31" s="77"/>
      <c r="K31" s="30"/>
      <c r="L31" s="30"/>
      <c r="M31" s="148"/>
      <c r="N31" s="157"/>
      <c r="O31" s="157"/>
      <c r="P31" s="157"/>
      <c r="Q31" s="157"/>
      <c r="R31" s="157"/>
      <c r="S31" s="157"/>
      <c r="T31" s="157"/>
      <c r="U31" s="199"/>
      <c r="V31" s="157"/>
    </row>
    <row r="32" spans="1:22" ht="23.25" customHeight="1" x14ac:dyDescent="0.35">
      <c r="J32" s="254" t="s">
        <v>94</v>
      </c>
      <c r="K32" s="251"/>
      <c r="L32" s="251"/>
      <c r="M32" s="251"/>
      <c r="N32" s="157"/>
      <c r="O32" s="157"/>
      <c r="P32" s="157"/>
      <c r="Q32" s="157"/>
      <c r="R32" s="157"/>
      <c r="S32" s="157"/>
      <c r="T32" s="157"/>
      <c r="U32" s="199"/>
      <c r="V32" s="157"/>
    </row>
    <row r="33" spans="10:21" ht="23.25" customHeight="1" x14ac:dyDescent="0.35">
      <c r="J33" s="151">
        <f>$L$19*$P$19*($R$19^$M$19)*($Q$19^$N$19)*10^(2*(lambda_c-0.7)+$O$19)/$S$19</f>
        <v>3.3667886731186797E-4</v>
      </c>
      <c r="K33" s="152" t="str">
        <f>IF(T_2_c&gt;=100, "  Wt/cm2","  J/cm2")</f>
        <v xml:space="preserve">  J/cm2</v>
      </c>
      <c r="L33" s="140"/>
      <c r="M33" s="148"/>
      <c r="N33" s="148"/>
      <c r="O33" s="148"/>
      <c r="P33" s="148"/>
      <c r="Q33" s="148"/>
      <c r="R33" s="148"/>
      <c r="S33" s="148"/>
      <c r="T33" s="148"/>
      <c r="U33" s="149"/>
    </row>
    <row r="34" spans="10:21" ht="23.25" customHeight="1" x14ac:dyDescent="0.25">
      <c r="J34" s="150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9"/>
    </row>
    <row r="35" spans="10:21" ht="23.25" customHeight="1" x14ac:dyDescent="0.35">
      <c r="J35" s="254" t="s">
        <v>95</v>
      </c>
      <c r="K35" s="251"/>
      <c r="L35" s="251"/>
      <c r="M35" s="251"/>
      <c r="N35" s="148"/>
      <c r="O35" s="148"/>
      <c r="P35" s="148"/>
      <c r="Q35" s="148"/>
      <c r="R35" s="148"/>
      <c r="S35" s="148"/>
      <c r="T35" s="148"/>
      <c r="U35" s="149"/>
    </row>
    <row r="36" spans="10:21" ht="23.25" customHeight="1" thickBot="1" x14ac:dyDescent="0.4">
      <c r="J36" s="153">
        <f>$J$24*$S$18^-0.25</f>
        <v>1.2793569033032059E-7</v>
      </c>
      <c r="K36" s="154" t="str">
        <f>IF(T_2_c&gt;=100, "  Wt/cm2","  J/cm2")</f>
        <v xml:space="preserve">  J/cm2</v>
      </c>
      <c r="L36" s="205"/>
      <c r="M36" s="205"/>
      <c r="N36" s="205"/>
      <c r="O36" s="205"/>
      <c r="P36" s="205"/>
      <c r="Q36" s="205"/>
      <c r="R36" s="205"/>
      <c r="S36" s="205"/>
      <c r="T36" s="205"/>
      <c r="U36" s="206"/>
    </row>
    <row r="37" spans="10:21" ht="23.25" customHeight="1" thickTop="1" thickBot="1" x14ac:dyDescent="0.3"/>
    <row r="38" spans="10:21" ht="23.25" customHeight="1" thickTop="1" x14ac:dyDescent="0.35">
      <c r="J38" s="144" t="s">
        <v>93</v>
      </c>
      <c r="K38" s="145"/>
    </row>
    <row r="39" spans="10:21" ht="23.25" customHeight="1" thickBot="1" x14ac:dyDescent="0.4">
      <c r="J39" s="80">
        <f>MIN($J$24,$J$27,$J$30,$J$33,$J$36)*$T$19</f>
        <v>5.9080934009330391E-3</v>
      </c>
      <c r="K39" s="146" t="str">
        <f>IF(T_2_c&gt;=100, "  Wt/cm2","  J/cm2")</f>
        <v xml:space="preserve">  J/cm2</v>
      </c>
    </row>
    <row r="40" spans="10:21" ht="23.25" customHeight="1" thickTop="1" x14ac:dyDescent="0.25"/>
    <row r="41" spans="10:21" ht="23.25" customHeight="1" x14ac:dyDescent="0.25"/>
    <row r="42" spans="10:21" ht="23.25" customHeight="1" x14ac:dyDescent="0.25"/>
    <row r="43" spans="10:21" ht="23.25" customHeight="1" x14ac:dyDescent="0.25"/>
    <row r="44" spans="10:21" ht="23.25" customHeight="1" x14ac:dyDescent="0.25"/>
    <row r="45" spans="10:21" ht="23.25" customHeight="1" x14ac:dyDescent="0.25"/>
  </sheetData>
  <sheetProtection algorithmName="SHA-512" hashValue="XJn6btWP11D2/3oJN1Y4XuOI+ksfSy1Dbn5DuDeEhCx9PpTD/6KrqdQv1ZHIN3DMz5sBkVOa6RY5DJrYFWPdvA==" saltValue="7b2jydDVd3jx13Zv+3d0Dw==" spinCount="100000" sheet="1" objects="1" scenarios="1"/>
  <mergeCells count="8">
    <mergeCell ref="O7:T7"/>
    <mergeCell ref="J29:M29"/>
    <mergeCell ref="J32:M32"/>
    <mergeCell ref="J35:M35"/>
    <mergeCell ref="J23:L23"/>
    <mergeCell ref="J26:M26"/>
    <mergeCell ref="K7:L7"/>
    <mergeCell ref="M7:N7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workbookViewId="0">
      <selection activeCell="M18" sqref="M18"/>
    </sheetView>
  </sheetViews>
  <sheetFormatPr defaultRowHeight="15" x14ac:dyDescent="0.25"/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5122" r:id="rId4">
          <objectPr defaultSize="0" autoPict="0" r:id="rId5">
            <anchor moveWithCells="1">
              <from>
                <xdr:col>1</xdr:col>
                <xdr:colOff>0</xdr:colOff>
                <xdr:row>2</xdr:row>
                <xdr:rowOff>0</xdr:rowOff>
              </from>
              <to>
                <xdr:col>2</xdr:col>
                <xdr:colOff>409575</xdr:colOff>
                <xdr:row>5</xdr:row>
                <xdr:rowOff>114300</xdr:rowOff>
              </to>
            </anchor>
          </objectPr>
        </oleObject>
      </mc:Choice>
      <mc:Fallback>
        <oleObject progId="Документ" dvAspect="DVASPECT_ICON" shapeId="5122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14</vt:i4>
      </vt:variant>
    </vt:vector>
  </HeadingPairs>
  <TitlesOfParts>
    <vt:vector size="20" baseType="lpstr">
      <vt:lpstr>How To...</vt:lpstr>
      <vt:lpstr>Main</vt:lpstr>
      <vt:lpstr>"a" Single pulse  </vt:lpstr>
      <vt:lpstr>"b" Repetitive pulse </vt:lpstr>
      <vt:lpstr>"c" Train sequence </vt:lpstr>
      <vt:lpstr>General formula expl</vt:lpstr>
      <vt:lpstr>alpha_a</vt:lpstr>
      <vt:lpstr>alpha_b</vt:lpstr>
      <vt:lpstr>alpha_c</vt:lpstr>
      <vt:lpstr>lambda_a</vt:lpstr>
      <vt:lpstr>lambda_b</vt:lpstr>
      <vt:lpstr>lambda_c</vt:lpstr>
      <vt:lpstr>T_2_a</vt:lpstr>
      <vt:lpstr>T_2_b</vt:lpstr>
      <vt:lpstr>T_2_c</vt:lpstr>
      <vt:lpstr>T_seq_c</vt:lpstr>
      <vt:lpstr>T_train_c</vt:lpstr>
      <vt:lpstr>tsp_a</vt:lpstr>
      <vt:lpstr>tsp_b</vt:lpstr>
      <vt:lpstr>tsp_c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Vitaly</dc:creator>
  <cp:lastModifiedBy>Користувач Windows</cp:lastModifiedBy>
  <dcterms:created xsi:type="dcterms:W3CDTF">2017-04-29T06:59:12Z</dcterms:created>
  <dcterms:modified xsi:type="dcterms:W3CDTF">2020-12-29T16:21:20Z</dcterms:modified>
</cp:coreProperties>
</file>